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mc:AlternateContent xmlns:mc="http://schemas.openxmlformats.org/markup-compatibility/2006">
    <mc:Choice Requires="x15">
      <x15ac:absPath xmlns:x15ac="http://schemas.microsoft.com/office/spreadsheetml/2010/11/ac" url="https://mcgechannz-my.sharepoint.com/personal/bruce_mcgechan_co_nz/Documents/Book/EVA - Bus Value/"/>
    </mc:Choice>
  </mc:AlternateContent>
  <xr:revisionPtr revIDLastSave="17" documentId="8_{6814BE7B-FCE8-E345-A526-426DAE2289C9}" xr6:coauthVersionLast="47" xr6:coauthVersionMax="47" xr10:uidLastSave="{7D5ABB41-8165-9546-9818-5A454D178DC7}"/>
  <bookViews>
    <workbookView xWindow="0" yWindow="500" windowWidth="51200" windowHeight="28300" xr2:uid="{00000000-000D-0000-FFFF-FFFF00000000}"/>
  </bookViews>
  <sheets>
    <sheet name="Disclaimer" sheetId="8" r:id="rId1"/>
    <sheet name="Model" sheetId="1" r:id="rId2"/>
    <sheet name="Market" sheetId="9" r:id="rId3"/>
    <sheet name="Assessments" sheetId="10" r:id="rId4"/>
  </sheets>
  <definedNames>
    <definedName name="_xlnm.Print_Area" localSheetId="1">Model!$B$2:$M$38</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6" i="9" l="1"/>
  <c r="D67" i="9"/>
  <c r="D68" i="9"/>
  <c r="D69" i="9"/>
  <c r="D65" i="9"/>
  <c r="G45" i="9"/>
  <c r="G46" i="9"/>
  <c r="G47" i="9"/>
  <c r="G48" i="9"/>
  <c r="G44" i="9"/>
  <c r="E45" i="9"/>
  <c r="E46" i="9"/>
  <c r="E47" i="9"/>
  <c r="E48" i="9"/>
  <c r="E44" i="9"/>
  <c r="B62" i="9"/>
  <c r="I63" i="1"/>
  <c r="I53" i="1"/>
  <c r="I30" i="1"/>
  <c r="I32" i="1"/>
  <c r="I31" i="1"/>
  <c r="F59" i="1" l="1"/>
  <c r="G59" i="1"/>
  <c r="H59" i="1"/>
  <c r="I59" i="1"/>
  <c r="E59" i="1"/>
  <c r="E183" i="1"/>
  <c r="F183" i="1"/>
  <c r="G183" i="1"/>
  <c r="H183" i="1"/>
  <c r="I183" i="1"/>
  <c r="D183" i="1"/>
  <c r="N236" i="1"/>
  <c r="N234" i="1"/>
  <c r="N199" i="1"/>
  <c r="N237" i="1" s="1"/>
  <c r="N192" i="1"/>
  <c r="K234" i="1"/>
  <c r="L234" i="1"/>
  <c r="M234" i="1"/>
  <c r="J234" i="1"/>
  <c r="I181" i="1"/>
  <c r="J179" i="1" s="1"/>
  <c r="J181" i="1" s="1"/>
  <c r="D181" i="1"/>
  <c r="I165" i="1"/>
  <c r="J163" i="1" s="1"/>
  <c r="D184" i="1" l="1"/>
  <c r="J99" i="1"/>
  <c r="J183" i="1"/>
  <c r="E53" i="9"/>
  <c r="O48" i="9" l="1"/>
  <c r="O47" i="9"/>
  <c r="O46" i="9"/>
  <c r="O45" i="9"/>
  <c r="N45" i="9"/>
  <c r="N46" i="9"/>
  <c r="N47" i="9"/>
  <c r="N48" i="9"/>
  <c r="O44" i="9"/>
  <c r="N44" i="9"/>
  <c r="C18" i="9" l="1"/>
  <c r="C46" i="9" s="1"/>
  <c r="D20" i="9"/>
  <c r="D16" i="9"/>
  <c r="D18" i="9"/>
  <c r="E63" i="9"/>
  <c r="D63" i="9"/>
  <c r="B52" i="9"/>
  <c r="C52" i="9"/>
  <c r="B53" i="9"/>
  <c r="C51" i="9"/>
  <c r="B51" i="9"/>
  <c r="H21" i="10"/>
  <c r="G21" i="10"/>
  <c r="E20" i="10"/>
  <c r="D18" i="10"/>
  <c r="I15" i="10"/>
  <c r="H15" i="10"/>
  <c r="G15" i="10"/>
  <c r="F15" i="10"/>
  <c r="E15" i="10"/>
  <c r="D15" i="10"/>
  <c r="C13" i="10"/>
  <c r="I21" i="10" s="1"/>
  <c r="C8" i="10"/>
  <c r="F20" i="10" s="1"/>
  <c r="D17" i="9" l="1"/>
  <c r="D19" i="9"/>
  <c r="C53" i="9"/>
  <c r="E37" i="9"/>
  <c r="D37" i="9"/>
  <c r="B37" i="9"/>
  <c r="C29" i="9"/>
  <c r="C36" i="9" s="1"/>
  <c r="C20" i="9"/>
  <c r="C48" i="9" s="1"/>
  <c r="C16" i="9"/>
  <c r="C17" i="9" l="1"/>
  <c r="C45" i="9" s="1"/>
  <c r="C44" i="9"/>
  <c r="F48" i="9"/>
  <c r="C62" i="9"/>
  <c r="F45" i="9"/>
  <c r="C19" i="9"/>
  <c r="C47" i="9" s="1"/>
  <c r="F47" i="9"/>
  <c r="F46" i="9"/>
  <c r="F44" i="9"/>
  <c r="D38" i="9"/>
  <c r="E38" i="9"/>
  <c r="N153" i="1"/>
  <c r="N149" i="1" s="1"/>
  <c r="N231" i="1" s="1"/>
  <c r="N232" i="1" s="1"/>
  <c r="N126" i="1"/>
  <c r="J93" i="1"/>
  <c r="K179" i="1"/>
  <c r="K181" i="1" s="1"/>
  <c r="N77" i="1"/>
  <c r="M77" i="1"/>
  <c r="L77" i="1"/>
  <c r="K77" i="1"/>
  <c r="J77" i="1"/>
  <c r="I271" i="1"/>
  <c r="I89" i="1"/>
  <c r="I88" i="1"/>
  <c r="H99" i="1"/>
  <c r="G99" i="1"/>
  <c r="F99" i="1"/>
  <c r="F100" i="1" s="1"/>
  <c r="E99" i="1"/>
  <c r="F149" i="1"/>
  <c r="G149" i="1"/>
  <c r="H149" i="1"/>
  <c r="I149" i="1"/>
  <c r="F151" i="1"/>
  <c r="G148" i="1" s="1"/>
  <c r="G151" i="1"/>
  <c r="H148" i="1" s="1"/>
  <c r="H151" i="1"/>
  <c r="I148" i="1" s="1"/>
  <c r="I151" i="1"/>
  <c r="J148" i="1" s="1"/>
  <c r="E149" i="1"/>
  <c r="K322" i="1"/>
  <c r="L322" i="1" s="1"/>
  <c r="M322" i="1" s="1"/>
  <c r="N322" i="1" s="1"/>
  <c r="K320" i="1"/>
  <c r="L320" i="1" s="1"/>
  <c r="M320" i="1" s="1"/>
  <c r="N320" i="1" s="1"/>
  <c r="I304" i="1"/>
  <c r="E68" i="1"/>
  <c r="F68" i="1"/>
  <c r="G68" i="1"/>
  <c r="H68" i="1"/>
  <c r="I68" i="1"/>
  <c r="D68" i="1"/>
  <c r="N297" i="1"/>
  <c r="M297" i="1"/>
  <c r="L297" i="1"/>
  <c r="K297" i="1"/>
  <c r="J297" i="1"/>
  <c r="I297" i="1"/>
  <c r="H297" i="1"/>
  <c r="G297" i="1"/>
  <c r="F297" i="1"/>
  <c r="E297" i="1"/>
  <c r="D297" i="1"/>
  <c r="B297" i="1"/>
  <c r="B296" i="1"/>
  <c r="N245" i="1"/>
  <c r="M245" i="1"/>
  <c r="L245" i="1"/>
  <c r="K245" i="1"/>
  <c r="J245" i="1"/>
  <c r="I245" i="1"/>
  <c r="H245" i="1"/>
  <c r="G245" i="1"/>
  <c r="F245" i="1"/>
  <c r="E245" i="1"/>
  <c r="D245" i="1"/>
  <c r="B245" i="1"/>
  <c r="B244" i="1"/>
  <c r="N220" i="1"/>
  <c r="M220" i="1"/>
  <c r="L220" i="1"/>
  <c r="K220" i="1"/>
  <c r="J220" i="1"/>
  <c r="I220" i="1"/>
  <c r="H220" i="1"/>
  <c r="G220" i="1"/>
  <c r="F220" i="1"/>
  <c r="E220" i="1"/>
  <c r="D220" i="1"/>
  <c r="B220" i="1"/>
  <c r="B219" i="1"/>
  <c r="N206" i="1"/>
  <c r="M206" i="1"/>
  <c r="L206" i="1"/>
  <c r="K206" i="1"/>
  <c r="J206" i="1"/>
  <c r="I206" i="1"/>
  <c r="H206" i="1"/>
  <c r="G206" i="1"/>
  <c r="F206" i="1"/>
  <c r="E206" i="1"/>
  <c r="D206" i="1"/>
  <c r="B206" i="1"/>
  <c r="B205" i="1"/>
  <c r="N188" i="1"/>
  <c r="M188" i="1"/>
  <c r="L188" i="1"/>
  <c r="K188" i="1"/>
  <c r="J188" i="1"/>
  <c r="I188" i="1"/>
  <c r="H188" i="1"/>
  <c r="G188" i="1"/>
  <c r="F188" i="1"/>
  <c r="E188" i="1"/>
  <c r="D188" i="1"/>
  <c r="B188" i="1"/>
  <c r="B187" i="1"/>
  <c r="N176" i="1"/>
  <c r="M176" i="1"/>
  <c r="L176" i="1"/>
  <c r="K176" i="1"/>
  <c r="J176" i="1"/>
  <c r="I176" i="1"/>
  <c r="H176" i="1"/>
  <c r="G176" i="1"/>
  <c r="F176" i="1"/>
  <c r="E176" i="1"/>
  <c r="D176" i="1"/>
  <c r="B176" i="1"/>
  <c r="B175" i="1"/>
  <c r="N160" i="1"/>
  <c r="M160" i="1"/>
  <c r="L160" i="1"/>
  <c r="K160" i="1"/>
  <c r="J160" i="1"/>
  <c r="I160" i="1"/>
  <c r="H160" i="1"/>
  <c r="G160" i="1"/>
  <c r="F160" i="1"/>
  <c r="E160" i="1"/>
  <c r="D160" i="1"/>
  <c r="B160" i="1"/>
  <c r="B159" i="1"/>
  <c r="N146" i="1"/>
  <c r="M146" i="1"/>
  <c r="L146" i="1"/>
  <c r="K146" i="1"/>
  <c r="J146" i="1"/>
  <c r="I146" i="1"/>
  <c r="H146" i="1"/>
  <c r="G146" i="1"/>
  <c r="F146" i="1"/>
  <c r="E146" i="1"/>
  <c r="D146" i="1"/>
  <c r="B146" i="1"/>
  <c r="B145" i="1"/>
  <c r="N118" i="1"/>
  <c r="M118" i="1"/>
  <c r="L118" i="1"/>
  <c r="K118" i="1"/>
  <c r="J118" i="1"/>
  <c r="I118" i="1"/>
  <c r="H118" i="1"/>
  <c r="G118" i="1"/>
  <c r="F118" i="1"/>
  <c r="E118" i="1"/>
  <c r="D118" i="1"/>
  <c r="B118" i="1"/>
  <c r="B117" i="1"/>
  <c r="N87" i="1"/>
  <c r="M87" i="1"/>
  <c r="L87" i="1"/>
  <c r="K87" i="1"/>
  <c r="J87" i="1"/>
  <c r="I87" i="1"/>
  <c r="H87" i="1"/>
  <c r="G87" i="1"/>
  <c r="F87" i="1"/>
  <c r="E87" i="1"/>
  <c r="D87" i="1"/>
  <c r="B87" i="1"/>
  <c r="B86" i="1"/>
  <c r="N73" i="1"/>
  <c r="M73" i="1"/>
  <c r="L73" i="1"/>
  <c r="K73" i="1"/>
  <c r="J73" i="1"/>
  <c r="I73" i="1"/>
  <c r="H73" i="1"/>
  <c r="G73" i="1"/>
  <c r="F73" i="1"/>
  <c r="E73" i="1"/>
  <c r="D73" i="1"/>
  <c r="B73" i="1"/>
  <c r="B72" i="1"/>
  <c r="N42" i="1"/>
  <c r="K42" i="1"/>
  <c r="L42" i="1"/>
  <c r="M42" i="1"/>
  <c r="J42" i="1"/>
  <c r="E42" i="1"/>
  <c r="F42" i="1"/>
  <c r="G42" i="1"/>
  <c r="H42" i="1"/>
  <c r="I42" i="1"/>
  <c r="D42" i="1"/>
  <c r="E64" i="9" l="1"/>
  <c r="D64" i="9"/>
  <c r="K99" i="1"/>
  <c r="K183" i="1"/>
  <c r="N83" i="1"/>
  <c r="N37" i="1" s="1"/>
  <c r="I94" i="1"/>
  <c r="G181" i="1"/>
  <c r="H181" i="1"/>
  <c r="I184" i="1" s="1"/>
  <c r="E181" i="1"/>
  <c r="F181" i="1"/>
  <c r="G184" i="1" s="1"/>
  <c r="H69" i="1"/>
  <c r="I69" i="1"/>
  <c r="J256" i="1"/>
  <c r="J258" i="1" s="1"/>
  <c r="F69" i="1"/>
  <c r="E66" i="9"/>
  <c r="E65" i="9"/>
  <c r="E69" i="9"/>
  <c r="C74" i="9" s="1"/>
  <c r="E67" i="9"/>
  <c r="E68" i="9"/>
  <c r="C73" i="9"/>
  <c r="G69" i="1"/>
  <c r="E69" i="1"/>
  <c r="F184" i="1" l="1"/>
  <c r="E184" i="1"/>
  <c r="H184" i="1"/>
  <c r="J199" i="1"/>
  <c r="J237" i="1" s="1"/>
  <c r="D200" i="1"/>
  <c r="J192" i="1"/>
  <c r="J236" i="1" s="1"/>
  <c r="K153" i="1"/>
  <c r="L153" i="1"/>
  <c r="M153" i="1"/>
  <c r="J126" i="1"/>
  <c r="I77" i="1"/>
  <c r="H77" i="1"/>
  <c r="G77" i="1"/>
  <c r="F77" i="1"/>
  <c r="E77" i="1"/>
  <c r="D77" i="1"/>
  <c r="E36" i="1" l="1"/>
  <c r="F36" i="1" s="1"/>
  <c r="G36" i="1" s="1"/>
  <c r="H36" i="1" s="1"/>
  <c r="I36" i="1" s="1"/>
  <c r="I26" i="1" l="1"/>
  <c r="J26" i="1" s="1"/>
  <c r="I250" i="1" l="1"/>
  <c r="J248" i="1" s="1"/>
  <c r="H250" i="1"/>
  <c r="I248" i="1" s="1"/>
  <c r="I55" i="1"/>
  <c r="I306" i="1" s="1"/>
  <c r="I57" i="1"/>
  <c r="I308" i="1" s="1"/>
  <c r="I170" i="1"/>
  <c r="J168" i="1" s="1"/>
  <c r="I139" i="1"/>
  <c r="J137" i="1" s="1"/>
  <c r="I131" i="1"/>
  <c r="J129" i="1" s="1"/>
  <c r="I123" i="1"/>
  <c r="J121" i="1" s="1"/>
  <c r="I155" i="1"/>
  <c r="I156" i="1" s="1"/>
  <c r="E30" i="1"/>
  <c r="F30" i="1"/>
  <c r="G30" i="1"/>
  <c r="E299" i="1"/>
  <c r="C291" i="1"/>
  <c r="C292" i="1" s="1"/>
  <c r="C289" i="1"/>
  <c r="C288" i="1" s="1"/>
  <c r="K281" i="1"/>
  <c r="K282" i="1" s="1"/>
  <c r="K283" i="1" s="1"/>
  <c r="K279" i="1"/>
  <c r="K278" i="1" s="1"/>
  <c r="O277" i="1"/>
  <c r="P277" i="1" s="1"/>
  <c r="M277" i="1"/>
  <c r="L277" i="1" s="1"/>
  <c r="B351" i="1"/>
  <c r="B347" i="1"/>
  <c r="B343" i="1"/>
  <c r="B339" i="1"/>
  <c r="B335" i="1"/>
  <c r="B331" i="1"/>
  <c r="B327" i="1"/>
  <c r="B323" i="1"/>
  <c r="B319" i="1"/>
  <c r="G287" i="1"/>
  <c r="H287" i="1" s="1"/>
  <c r="E287" i="1"/>
  <c r="D287" i="1" s="1"/>
  <c r="G277" i="1"/>
  <c r="H277" i="1" s="1"/>
  <c r="E277" i="1"/>
  <c r="D277" i="1" s="1"/>
  <c r="C281" i="1"/>
  <c r="C282" i="1" s="1"/>
  <c r="C283" i="1" s="1"/>
  <c r="C279" i="1"/>
  <c r="C278" i="1" s="1"/>
  <c r="E110" i="1"/>
  <c r="F110" i="1"/>
  <c r="G110" i="1"/>
  <c r="H110" i="1"/>
  <c r="D110" i="1"/>
  <c r="D83" i="1"/>
  <c r="D37" i="1" s="1"/>
  <c r="E83" i="1"/>
  <c r="E37" i="1" s="1"/>
  <c r="F83" i="1"/>
  <c r="F37" i="1" s="1"/>
  <c r="B2" i="1"/>
  <c r="D15" i="1"/>
  <c r="D31" i="1" s="1"/>
  <c r="E15" i="1"/>
  <c r="E31" i="1" s="1"/>
  <c r="F15" i="1"/>
  <c r="F31" i="1" s="1"/>
  <c r="D155" i="1"/>
  <c r="E155" i="1"/>
  <c r="F155" i="1"/>
  <c r="G155" i="1"/>
  <c r="H155" i="1"/>
  <c r="B41" i="1"/>
  <c r="B42" i="1"/>
  <c r="E53" i="1"/>
  <c r="E304" i="1" s="1"/>
  <c r="F53" i="1"/>
  <c r="F304" i="1" s="1"/>
  <c r="G53" i="1"/>
  <c r="G304" i="1" s="1"/>
  <c r="H53" i="1"/>
  <c r="H304" i="1" s="1"/>
  <c r="E55" i="1"/>
  <c r="E306" i="1" s="1"/>
  <c r="F55" i="1"/>
  <c r="F306" i="1" s="1"/>
  <c r="G55" i="1"/>
  <c r="G306" i="1" s="1"/>
  <c r="H55" i="1"/>
  <c r="H306" i="1" s="1"/>
  <c r="E57" i="1"/>
  <c r="E308" i="1" s="1"/>
  <c r="F57" i="1"/>
  <c r="F308" i="1" s="1"/>
  <c r="G57" i="1"/>
  <c r="G308" i="1" s="1"/>
  <c r="H57" i="1"/>
  <c r="H308" i="1" s="1"/>
  <c r="D62" i="1"/>
  <c r="D66" i="1"/>
  <c r="K93" i="1"/>
  <c r="L93" i="1" s="1"/>
  <c r="M93" i="1" s="1"/>
  <c r="N93" i="1" s="1"/>
  <c r="D94" i="1"/>
  <c r="E94" i="1"/>
  <c r="E111" i="1" s="1"/>
  <c r="F94" i="1"/>
  <c r="F111" i="1" s="1"/>
  <c r="G94" i="1"/>
  <c r="G111" i="1" s="1"/>
  <c r="H94" i="1"/>
  <c r="D100" i="1"/>
  <c r="E100" i="1"/>
  <c r="G100" i="1"/>
  <c r="D105" i="1"/>
  <c r="E105" i="1"/>
  <c r="F105" i="1"/>
  <c r="D123" i="1"/>
  <c r="D125" i="1" s="1"/>
  <c r="D126" i="1" s="1"/>
  <c r="E123" i="1"/>
  <c r="E125" i="1" s="1"/>
  <c r="E126" i="1" s="1"/>
  <c r="F123" i="1"/>
  <c r="F125" i="1" s="1"/>
  <c r="F126" i="1" s="1"/>
  <c r="G123" i="1"/>
  <c r="G125" i="1" s="1"/>
  <c r="G126" i="1" s="1"/>
  <c r="H123" i="1"/>
  <c r="K126" i="1"/>
  <c r="L126" i="1"/>
  <c r="M126" i="1"/>
  <c r="D131" i="1"/>
  <c r="D134" i="1" s="1"/>
  <c r="E131" i="1"/>
  <c r="F131" i="1"/>
  <c r="G131" i="1"/>
  <c r="H131" i="1"/>
  <c r="D139" i="1"/>
  <c r="D141" i="1" s="1"/>
  <c r="D142" i="1" s="1"/>
  <c r="E139" i="1"/>
  <c r="E141" i="1" s="1"/>
  <c r="E142" i="1" s="1"/>
  <c r="F139" i="1"/>
  <c r="F141" i="1" s="1"/>
  <c r="F142" i="1" s="1"/>
  <c r="G139" i="1"/>
  <c r="H139" i="1"/>
  <c r="D151" i="1"/>
  <c r="E148" i="1" s="1"/>
  <c r="E151" i="1"/>
  <c r="F148" i="1" s="1"/>
  <c r="D154" i="1"/>
  <c r="E154" i="1"/>
  <c r="F154" i="1"/>
  <c r="G154" i="1"/>
  <c r="D165" i="1"/>
  <c r="E165" i="1"/>
  <c r="F165" i="1"/>
  <c r="G165" i="1"/>
  <c r="H165" i="1"/>
  <c r="D170" i="1"/>
  <c r="E170" i="1"/>
  <c r="F170" i="1"/>
  <c r="G170" i="1"/>
  <c r="H170" i="1"/>
  <c r="K192" i="1"/>
  <c r="K236" i="1" s="1"/>
  <c r="L192" i="1"/>
  <c r="L236" i="1" s="1"/>
  <c r="M192" i="1"/>
  <c r="M236" i="1" s="1"/>
  <c r="D193" i="1"/>
  <c r="E193" i="1"/>
  <c r="F193" i="1"/>
  <c r="G193" i="1"/>
  <c r="H193" i="1"/>
  <c r="K199" i="1"/>
  <c r="K237" i="1" s="1"/>
  <c r="L199" i="1"/>
  <c r="L237" i="1" s="1"/>
  <c r="M199" i="1"/>
  <c r="M237" i="1" s="1"/>
  <c r="E200" i="1"/>
  <c r="F200" i="1"/>
  <c r="G200" i="1"/>
  <c r="H200" i="1"/>
  <c r="D212" i="1"/>
  <c r="E212" i="1"/>
  <c r="F212" i="1"/>
  <c r="G105" i="1" s="1"/>
  <c r="D250" i="1"/>
  <c r="E248" i="1" s="1"/>
  <c r="E250" i="1"/>
  <c r="F248" i="1" s="1"/>
  <c r="F250" i="1"/>
  <c r="G248" i="1" s="1"/>
  <c r="G250" i="1"/>
  <c r="H248" i="1" s="1"/>
  <c r="D268" i="1"/>
  <c r="E268" i="1"/>
  <c r="F268" i="1"/>
  <c r="G268" i="1"/>
  <c r="H268" i="1"/>
  <c r="D271" i="1"/>
  <c r="E271" i="1"/>
  <c r="E270" i="1" s="1"/>
  <c r="F271" i="1"/>
  <c r="G271" i="1"/>
  <c r="H271" i="1"/>
  <c r="K26" i="1"/>
  <c r="L26" i="1" s="1"/>
  <c r="M26" i="1" s="1"/>
  <c r="N26" i="1" s="1"/>
  <c r="K149" i="1"/>
  <c r="K231" i="1" s="1"/>
  <c r="K232" i="1" s="1"/>
  <c r="L149" i="1"/>
  <c r="L231" i="1" s="1"/>
  <c r="L232" i="1" s="1"/>
  <c r="M149" i="1"/>
  <c r="M231" i="1" s="1"/>
  <c r="M232" i="1" s="1"/>
  <c r="I268" i="1"/>
  <c r="I100" i="1"/>
  <c r="I110" i="1"/>
  <c r="G270" i="1" l="1"/>
  <c r="H270" i="1"/>
  <c r="D270" i="1"/>
  <c r="G150" i="1"/>
  <c r="F156" i="1"/>
  <c r="J303" i="1"/>
  <c r="J32" i="1" s="1"/>
  <c r="J307" i="1"/>
  <c r="J65" i="1" s="1"/>
  <c r="J311" i="1"/>
  <c r="J313" i="1"/>
  <c r="J68" i="1" s="1"/>
  <c r="J304" i="1"/>
  <c r="J53" i="1" s="1"/>
  <c r="J52" i="1" s="1"/>
  <c r="J308" i="1"/>
  <c r="J57" i="1" s="1"/>
  <c r="J56" i="1" s="1"/>
  <c r="J312" i="1"/>
  <c r="J58" i="1" s="1"/>
  <c r="J59" i="1" s="1"/>
  <c r="J305" i="1"/>
  <c r="J63" i="1" s="1"/>
  <c r="J309" i="1"/>
  <c r="J67" i="1" s="1"/>
  <c r="J302" i="1"/>
  <c r="J31" i="1" s="1"/>
  <c r="J306" i="1"/>
  <c r="J55" i="1" s="1"/>
  <c r="J54" i="1" s="1"/>
  <c r="J310" i="1"/>
  <c r="I270" i="1"/>
  <c r="J266" i="1"/>
  <c r="H150" i="1"/>
  <c r="G156" i="1"/>
  <c r="F150" i="1"/>
  <c r="E156" i="1"/>
  <c r="F270" i="1"/>
  <c r="I150" i="1"/>
  <c r="H156" i="1"/>
  <c r="E150" i="1"/>
  <c r="D156" i="1"/>
  <c r="N302" i="1"/>
  <c r="N31" i="1" s="1"/>
  <c r="N306" i="1"/>
  <c r="N55" i="1" s="1"/>
  <c r="N310" i="1"/>
  <c r="N59" i="1" s="1"/>
  <c r="N304" i="1"/>
  <c r="N53" i="1" s="1"/>
  <c r="N303" i="1"/>
  <c r="N32" i="1" s="1"/>
  <c r="N307" i="1"/>
  <c r="N65" i="1" s="1"/>
  <c r="N311" i="1"/>
  <c r="N69" i="1" s="1"/>
  <c r="N308" i="1"/>
  <c r="N57" i="1" s="1"/>
  <c r="N305" i="1"/>
  <c r="N63" i="1" s="1"/>
  <c r="N309" i="1"/>
  <c r="N67" i="1" s="1"/>
  <c r="G212" i="1"/>
  <c r="K302" i="1"/>
  <c r="K31" i="1" s="1"/>
  <c r="K306" i="1"/>
  <c r="K55" i="1" s="1"/>
  <c r="K310" i="1"/>
  <c r="K59" i="1" s="1"/>
  <c r="M304" i="1"/>
  <c r="M53" i="1" s="1"/>
  <c r="M308" i="1"/>
  <c r="M57" i="1" s="1"/>
  <c r="L308" i="1"/>
  <c r="L57" i="1" s="1"/>
  <c r="L302" i="1"/>
  <c r="L31" i="1" s="1"/>
  <c r="L306" i="1"/>
  <c r="L55" i="1" s="1"/>
  <c r="M307" i="1"/>
  <c r="M65" i="1" s="1"/>
  <c r="L305" i="1"/>
  <c r="L63" i="1" s="1"/>
  <c r="K303" i="1"/>
  <c r="K32" i="1" s="1"/>
  <c r="K307" i="1"/>
  <c r="K65" i="1" s="1"/>
  <c r="K311" i="1"/>
  <c r="M305" i="1"/>
  <c r="M63" i="1" s="1"/>
  <c r="M309" i="1"/>
  <c r="M67" i="1" s="1"/>
  <c r="L309" i="1"/>
  <c r="L67" i="1" s="1"/>
  <c r="L303" i="1"/>
  <c r="L32" i="1" s="1"/>
  <c r="M303" i="1"/>
  <c r="M32" i="1" s="1"/>
  <c r="L311" i="1"/>
  <c r="L69" i="1" s="1"/>
  <c r="K304" i="1"/>
  <c r="K53" i="1" s="1"/>
  <c r="K308" i="1"/>
  <c r="K57" i="1" s="1"/>
  <c r="M302" i="1"/>
  <c r="M31" i="1" s="1"/>
  <c r="M306" i="1"/>
  <c r="M55" i="1" s="1"/>
  <c r="M310" i="1"/>
  <c r="M59" i="1" s="1"/>
  <c r="L310" i="1"/>
  <c r="L59" i="1" s="1"/>
  <c r="L304" i="1"/>
  <c r="L53" i="1" s="1"/>
  <c r="K309" i="1"/>
  <c r="K67" i="1" s="1"/>
  <c r="M311" i="1"/>
  <c r="M69" i="1" s="1"/>
  <c r="K305" i="1"/>
  <c r="K63" i="1" s="1"/>
  <c r="H100" i="1"/>
  <c r="D111" i="1"/>
  <c r="F133" i="1"/>
  <c r="D133" i="1"/>
  <c r="F134" i="1"/>
  <c r="H262" i="1"/>
  <c r="G32" i="1"/>
  <c r="H111" i="1"/>
  <c r="G15" i="1"/>
  <c r="G31" i="1" s="1"/>
  <c r="L307" i="1"/>
  <c r="L65" i="1" s="1"/>
  <c r="G107" i="1"/>
  <c r="G262" i="1"/>
  <c r="D17" i="1"/>
  <c r="D22" i="1" s="1"/>
  <c r="D32" i="1"/>
  <c r="I262" i="1"/>
  <c r="E133" i="1"/>
  <c r="E134" i="1"/>
  <c r="E107" i="1"/>
  <c r="H83" i="1"/>
  <c r="H37" i="1" s="1"/>
  <c r="F262" i="1"/>
  <c r="G83" i="1"/>
  <c r="G37" i="1" s="1"/>
  <c r="E262" i="1"/>
  <c r="F107" i="1"/>
  <c r="J83" i="1"/>
  <c r="J37" i="1" s="1"/>
  <c r="M83" i="1"/>
  <c r="M37" i="1" s="1"/>
  <c r="F32" i="1"/>
  <c r="F17" i="1"/>
  <c r="E17" i="1"/>
  <c r="E32" i="1"/>
  <c r="L83" i="1"/>
  <c r="L37" i="1" s="1"/>
  <c r="I83" i="1"/>
  <c r="I37" i="1" s="1"/>
  <c r="K83" i="1"/>
  <c r="K37" i="1" s="1"/>
  <c r="D107" i="1"/>
  <c r="L179" i="1"/>
  <c r="L181" i="1" s="1"/>
  <c r="K52" i="1" l="1"/>
  <c r="L99" i="1"/>
  <c r="L183" i="1"/>
  <c r="K56" i="1"/>
  <c r="L56" i="1" s="1"/>
  <c r="M56" i="1" s="1"/>
  <c r="N56" i="1" s="1"/>
  <c r="K54" i="1"/>
  <c r="L54" i="1" s="1"/>
  <c r="K58" i="1"/>
  <c r="L58" i="1" s="1"/>
  <c r="M58" i="1" s="1"/>
  <c r="N58" i="1" s="1"/>
  <c r="J156" i="1"/>
  <c r="K156" i="1" s="1"/>
  <c r="J47" i="1"/>
  <c r="H212" i="1"/>
  <c r="I212" i="1" s="1"/>
  <c r="J209" i="1" s="1"/>
  <c r="H105" i="1"/>
  <c r="H107" i="1" s="1"/>
  <c r="K69" i="1"/>
  <c r="K68" i="1" s="1"/>
  <c r="G134" i="1"/>
  <c r="G17" i="1"/>
  <c r="G22" i="1" s="1"/>
  <c r="G33" i="1" s="1"/>
  <c r="D38" i="1"/>
  <c r="H125" i="1"/>
  <c r="H126" i="1" s="1"/>
  <c r="G141" i="1"/>
  <c r="G142" i="1" s="1"/>
  <c r="H32" i="1"/>
  <c r="H30" i="1"/>
  <c r="H154" i="1"/>
  <c r="G133" i="1"/>
  <c r="L52" i="1"/>
  <c r="M52" i="1" s="1"/>
  <c r="N52" i="1" s="1"/>
  <c r="D24" i="1"/>
  <c r="D33" i="1"/>
  <c r="M179" i="1"/>
  <c r="M181" i="1" s="1"/>
  <c r="F22" i="1"/>
  <c r="F38" i="1"/>
  <c r="E22" i="1"/>
  <c r="E38" i="1"/>
  <c r="M183" i="1" l="1"/>
  <c r="M99" i="1"/>
  <c r="N179" i="1"/>
  <c r="N181" i="1" s="1"/>
  <c r="K155" i="1"/>
  <c r="L156" i="1"/>
  <c r="L68" i="1"/>
  <c r="M68" i="1" s="1"/>
  <c r="K47" i="1"/>
  <c r="G38" i="1"/>
  <c r="G24" i="1"/>
  <c r="G214" i="1" s="1"/>
  <c r="G215" i="1" s="1"/>
  <c r="H141" i="1"/>
  <c r="H142" i="1" s="1"/>
  <c r="H134" i="1"/>
  <c r="H133" i="1"/>
  <c r="H15" i="1"/>
  <c r="M54" i="1"/>
  <c r="N54" i="1" s="1"/>
  <c r="D113" i="1"/>
  <c r="D114" i="1"/>
  <c r="D112" i="1"/>
  <c r="D214" i="1"/>
  <c r="D27" i="1"/>
  <c r="E33" i="1"/>
  <c r="E24" i="1"/>
  <c r="F24" i="1"/>
  <c r="F33" i="1"/>
  <c r="N183" i="1" l="1"/>
  <c r="N99" i="1"/>
  <c r="M156" i="1"/>
  <c r="L155" i="1"/>
  <c r="M47" i="1"/>
  <c r="N68" i="1"/>
  <c r="N47" i="1" s="1"/>
  <c r="D215" i="1"/>
  <c r="L47" i="1"/>
  <c r="G112" i="1"/>
  <c r="G113" i="1"/>
  <c r="G27" i="1"/>
  <c r="G114" i="1"/>
  <c r="H31" i="1"/>
  <c r="H17" i="1"/>
  <c r="F214" i="1"/>
  <c r="F215" i="1" s="1"/>
  <c r="F27" i="1"/>
  <c r="F114" i="1"/>
  <c r="F113" i="1"/>
  <c r="F112" i="1"/>
  <c r="E114" i="1"/>
  <c r="E112" i="1"/>
  <c r="E214" i="1"/>
  <c r="E215" i="1" s="1"/>
  <c r="E27" i="1"/>
  <c r="E113" i="1"/>
  <c r="N156" i="1" l="1"/>
  <c r="N155" i="1" s="1"/>
  <c r="M155" i="1"/>
  <c r="H22" i="1"/>
  <c r="H38" i="1"/>
  <c r="I133" i="1"/>
  <c r="I134" i="1"/>
  <c r="I141" i="1"/>
  <c r="I142" i="1" l="1"/>
  <c r="J141" i="1"/>
  <c r="K141" i="1" s="1"/>
  <c r="L141" i="1" s="1"/>
  <c r="H33" i="1"/>
  <c r="H24" i="1"/>
  <c r="K142" i="1" l="1"/>
  <c r="J142" i="1"/>
  <c r="H114" i="1"/>
  <c r="H112" i="1"/>
  <c r="H113" i="1"/>
  <c r="H214" i="1"/>
  <c r="H215" i="1" s="1"/>
  <c r="H27" i="1"/>
  <c r="M141" i="1"/>
  <c r="N141" i="1" s="1"/>
  <c r="N142" i="1" s="1"/>
  <c r="L142" i="1"/>
  <c r="M142" i="1" l="1"/>
  <c r="I15" i="1"/>
  <c r="I111" i="1"/>
  <c r="I125" i="1"/>
  <c r="I126" i="1" s="1"/>
  <c r="I154" i="1"/>
  <c r="I17" i="1" l="1"/>
  <c r="I22" i="1" s="1"/>
  <c r="I24" i="1" l="1"/>
  <c r="I27" i="1" s="1"/>
  <c r="I33" i="1"/>
  <c r="I38" i="1"/>
  <c r="C31" i="9" l="1"/>
  <c r="C30" i="9"/>
  <c r="C38" i="9" s="1"/>
  <c r="C64" i="9" s="1"/>
  <c r="I214" i="1"/>
  <c r="I215" i="1"/>
  <c r="I112" i="1"/>
  <c r="I113" i="1"/>
  <c r="K277" i="1"/>
  <c r="C277" i="1"/>
  <c r="C287" i="1"/>
  <c r="D44" i="9" l="1"/>
  <c r="D47" i="9"/>
  <c r="D45" i="9"/>
  <c r="D46" i="9"/>
  <c r="D48" i="9"/>
  <c r="E39" i="9"/>
  <c r="D39" i="9"/>
  <c r="C63" i="9"/>
  <c r="C37" i="9"/>
  <c r="I193" i="1"/>
  <c r="J191" i="1" s="1"/>
  <c r="J193" i="1" s="1"/>
  <c r="I105" i="1"/>
  <c r="I200" i="1"/>
  <c r="J198" i="1" s="1"/>
  <c r="J200" i="1" s="1"/>
  <c r="K198" i="1" l="1"/>
  <c r="K200" i="1" s="1"/>
  <c r="J104" i="1"/>
  <c r="K191" i="1"/>
  <c r="K193" i="1" s="1"/>
  <c r="L191" i="1" s="1"/>
  <c r="L193" i="1" s="1"/>
  <c r="J102" i="1"/>
  <c r="C67" i="9"/>
  <c r="K46" i="9"/>
  <c r="C66" i="9"/>
  <c r="C72" i="9" s="1"/>
  <c r="K45" i="9"/>
  <c r="C56" i="9"/>
  <c r="C68" i="9"/>
  <c r="K47" i="9"/>
  <c r="C69" i="9"/>
  <c r="K48" i="9"/>
  <c r="C65" i="9"/>
  <c r="K44" i="9"/>
  <c r="K104" i="1"/>
  <c r="L198" i="1"/>
  <c r="L200" i="1" s="1"/>
  <c r="I114" i="1"/>
  <c r="K102" i="1"/>
  <c r="I107" i="1"/>
  <c r="D73" i="9" l="1"/>
  <c r="D74" i="9"/>
  <c r="L104" i="1"/>
  <c r="M198" i="1"/>
  <c r="M200" i="1" s="1"/>
  <c r="M191" i="1"/>
  <c r="M193" i="1" s="1"/>
  <c r="L102" i="1"/>
  <c r="D48" i="1"/>
  <c r="D64" i="1"/>
  <c r="M104" i="1" l="1"/>
  <c r="N198" i="1"/>
  <c r="N200" i="1" s="1"/>
  <c r="N104" i="1" s="1"/>
  <c r="M102" i="1"/>
  <c r="N191" i="1"/>
  <c r="N193" i="1" s="1"/>
  <c r="N102" i="1" s="1"/>
  <c r="K36" i="1"/>
  <c r="L36" i="1"/>
  <c r="M36" i="1"/>
  <c r="N36" i="1"/>
  <c r="N223" i="1" s="1"/>
  <c r="K150" i="1"/>
  <c r="L150" i="1"/>
  <c r="M150" i="1"/>
  <c r="N150" i="1"/>
  <c r="K223" i="1"/>
  <c r="L223" i="1"/>
  <c r="M223" i="1"/>
  <c r="E48" i="1" l="1"/>
  <c r="E49" i="1" s="1"/>
  <c r="F48" i="1"/>
  <c r="G48" i="1"/>
  <c r="H48" i="1"/>
  <c r="I48" i="1"/>
  <c r="F49" i="1"/>
  <c r="G49" i="1"/>
  <c r="H49" i="1"/>
  <c r="E62" i="1"/>
  <c r="F62" i="1"/>
  <c r="G62" i="1"/>
  <c r="G63" i="1" s="1"/>
  <c r="G305" i="1" s="1"/>
  <c r="H62" i="1"/>
  <c r="H63" i="1" s="1"/>
  <c r="H305" i="1" s="1"/>
  <c r="I62" i="1"/>
  <c r="J62" i="1"/>
  <c r="J44" i="1" s="1"/>
  <c r="E63" i="1"/>
  <c r="F63" i="1"/>
  <c r="E64" i="1"/>
  <c r="E65" i="1" s="1"/>
  <c r="F64" i="1"/>
  <c r="G64" i="1"/>
  <c r="G65" i="1" s="1"/>
  <c r="G307" i="1" s="1"/>
  <c r="H64" i="1"/>
  <c r="I64" i="1"/>
  <c r="J64" i="1" s="1"/>
  <c r="E66" i="1"/>
  <c r="E67" i="1" s="1"/>
  <c r="E309" i="1" s="1"/>
  <c r="F66" i="1"/>
  <c r="G66" i="1"/>
  <c r="H66" i="1"/>
  <c r="I66" i="1"/>
  <c r="I67" i="1" s="1"/>
  <c r="I309" i="1" s="1"/>
  <c r="E305" i="1"/>
  <c r="F305" i="1"/>
  <c r="E307" i="1"/>
  <c r="H67" i="1" l="1"/>
  <c r="H309" i="1" s="1"/>
  <c r="J66" i="1"/>
  <c r="J46" i="1" s="1"/>
  <c r="F67" i="1"/>
  <c r="F309" i="1" s="1"/>
  <c r="H65" i="1"/>
  <c r="H307" i="1" s="1"/>
  <c r="I305" i="1"/>
  <c r="J45" i="1"/>
  <c r="K64" i="1"/>
  <c r="G67" i="1"/>
  <c r="G309" i="1" s="1"/>
  <c r="F65" i="1"/>
  <c r="F307" i="1" s="1"/>
  <c r="K62" i="1"/>
  <c r="I49" i="1"/>
  <c r="I65" i="1"/>
  <c r="I307" i="1" s="1"/>
  <c r="J48" i="1" l="1"/>
  <c r="J49" i="1" s="1"/>
  <c r="J30" i="1" s="1"/>
  <c r="J172" i="1" s="1"/>
  <c r="K66" i="1"/>
  <c r="L66" i="1" s="1"/>
  <c r="K45" i="1"/>
  <c r="L64" i="1"/>
  <c r="K44" i="1"/>
  <c r="L62" i="1"/>
  <c r="J13" i="1" l="1"/>
  <c r="J153" i="1" s="1"/>
  <c r="K46" i="1"/>
  <c r="K48" i="1" s="1"/>
  <c r="K49" i="1" s="1"/>
  <c r="K30" i="1" s="1"/>
  <c r="K172" i="1" s="1"/>
  <c r="J169" i="1"/>
  <c r="J164" i="1"/>
  <c r="L46" i="1"/>
  <c r="M66" i="1"/>
  <c r="L45" i="1"/>
  <c r="M64" i="1"/>
  <c r="L44" i="1"/>
  <c r="M62" i="1"/>
  <c r="J15" i="1" l="1"/>
  <c r="J14" i="1" s="1"/>
  <c r="J16" i="1"/>
  <c r="J123" i="1"/>
  <c r="K121" i="1" s="1"/>
  <c r="K13" i="1"/>
  <c r="M44" i="1"/>
  <c r="N62" i="1"/>
  <c r="N44" i="1" s="1"/>
  <c r="M45" i="1"/>
  <c r="N64" i="1"/>
  <c r="N45" i="1" s="1"/>
  <c r="J165" i="1"/>
  <c r="J227" i="1"/>
  <c r="J149" i="1"/>
  <c r="J155" i="1"/>
  <c r="M46" i="1"/>
  <c r="N66" i="1"/>
  <c r="N46" i="1" s="1"/>
  <c r="L48" i="1"/>
  <c r="L49" i="1" s="1"/>
  <c r="L30" i="1" s="1"/>
  <c r="L172" i="1" s="1"/>
  <c r="J228" i="1"/>
  <c r="J170" i="1"/>
  <c r="J17" i="1" l="1"/>
  <c r="J122" i="1"/>
  <c r="J224" i="1" s="1"/>
  <c r="J89" i="1"/>
  <c r="J231" i="1"/>
  <c r="J232" i="1" s="1"/>
  <c r="J98" i="1"/>
  <c r="K168" i="1"/>
  <c r="N48" i="1"/>
  <c r="J90" i="1"/>
  <c r="K163" i="1"/>
  <c r="K16" i="1"/>
  <c r="L13" i="1"/>
  <c r="K15" i="1"/>
  <c r="K123" i="1"/>
  <c r="J131" i="1"/>
  <c r="J134" i="1" s="1"/>
  <c r="J139" i="1"/>
  <c r="M48" i="1"/>
  <c r="M49" i="1" s="1"/>
  <c r="M30" i="1" s="1"/>
  <c r="M172" i="1" s="1"/>
  <c r="J36" i="1"/>
  <c r="J223" i="1" s="1"/>
  <c r="J150" i="1"/>
  <c r="J151" i="1" s="1"/>
  <c r="J38" i="1" l="1"/>
  <c r="J92" i="1"/>
  <c r="K148" i="1"/>
  <c r="K151" i="1" s="1"/>
  <c r="K169" i="1"/>
  <c r="K228" i="1" s="1"/>
  <c r="J91" i="1"/>
  <c r="J130" i="1"/>
  <c r="J225" i="1" s="1"/>
  <c r="K129" i="1"/>
  <c r="K17" i="1"/>
  <c r="K14" i="1"/>
  <c r="L15" i="1"/>
  <c r="L123" i="1"/>
  <c r="L16" i="1"/>
  <c r="M13" i="1"/>
  <c r="K89" i="1"/>
  <c r="L121" i="1"/>
  <c r="K122" i="1"/>
  <c r="K224" i="1" s="1"/>
  <c r="J97" i="1"/>
  <c r="K137" i="1"/>
  <c r="J138" i="1"/>
  <c r="J226" i="1" s="1"/>
  <c r="K164" i="1"/>
  <c r="K227" i="1" s="1"/>
  <c r="N49" i="1"/>
  <c r="N30" i="1" s="1"/>
  <c r="N172" i="1" s="1"/>
  <c r="K170" i="1" l="1"/>
  <c r="K98" i="1" s="1"/>
  <c r="L17" i="1"/>
  <c r="L14" i="1"/>
  <c r="K165" i="1"/>
  <c r="K139" i="1"/>
  <c r="K131" i="1"/>
  <c r="K134" i="1" s="1"/>
  <c r="K92" i="1"/>
  <c r="L148" i="1"/>
  <c r="L151" i="1" s="1"/>
  <c r="N13" i="1"/>
  <c r="M15" i="1"/>
  <c r="M123" i="1"/>
  <c r="M16" i="1"/>
  <c r="L89" i="1"/>
  <c r="M121" i="1"/>
  <c r="L122" i="1"/>
  <c r="L224" i="1" s="1"/>
  <c r="K38" i="1"/>
  <c r="J252" i="1"/>
  <c r="L168" i="1" l="1"/>
  <c r="L169" i="1" s="1"/>
  <c r="L228" i="1" s="1"/>
  <c r="N15" i="1"/>
  <c r="N123" i="1"/>
  <c r="N16" i="1"/>
  <c r="L129" i="1"/>
  <c r="K130" i="1"/>
  <c r="K225" i="1" s="1"/>
  <c r="K91" i="1"/>
  <c r="K252" i="1" s="1"/>
  <c r="L92" i="1"/>
  <c r="M148" i="1"/>
  <c r="M151" i="1" s="1"/>
  <c r="L139" i="1"/>
  <c r="L131" i="1"/>
  <c r="L134" i="1" s="1"/>
  <c r="M89" i="1"/>
  <c r="N121" i="1"/>
  <c r="M122" i="1"/>
  <c r="M224" i="1" s="1"/>
  <c r="L38" i="1"/>
  <c r="K97" i="1"/>
  <c r="L137" i="1"/>
  <c r="K138" i="1"/>
  <c r="K226" i="1" s="1"/>
  <c r="M14" i="1"/>
  <c r="M17" i="1"/>
  <c r="K90" i="1"/>
  <c r="L163" i="1"/>
  <c r="L164" i="1" l="1"/>
  <c r="L227" i="1" s="1"/>
  <c r="L170" i="1"/>
  <c r="M137" i="1"/>
  <c r="L138" i="1"/>
  <c r="L226" i="1" s="1"/>
  <c r="L97" i="1"/>
  <c r="M139" i="1"/>
  <c r="M131" i="1"/>
  <c r="M134" i="1" s="1"/>
  <c r="M129" i="1"/>
  <c r="L130" i="1"/>
  <c r="L225" i="1" s="1"/>
  <c r="L91" i="1"/>
  <c r="L252" i="1" s="1"/>
  <c r="N89" i="1"/>
  <c r="N122" i="1"/>
  <c r="N224" i="1" s="1"/>
  <c r="M38" i="1"/>
  <c r="M92" i="1"/>
  <c r="N148" i="1"/>
  <c r="N151" i="1" s="1"/>
  <c r="N92" i="1" s="1"/>
  <c r="N17" i="1"/>
  <c r="N14" i="1"/>
  <c r="N38" i="1" l="1"/>
  <c r="M97" i="1"/>
  <c r="N137" i="1"/>
  <c r="M138" i="1"/>
  <c r="M226" i="1" s="1"/>
  <c r="L98" i="1"/>
  <c r="M168" i="1"/>
  <c r="N131" i="1"/>
  <c r="N139" i="1"/>
  <c r="M91" i="1"/>
  <c r="M252" i="1" s="1"/>
  <c r="N129" i="1"/>
  <c r="M130" i="1"/>
  <c r="M225" i="1" s="1"/>
  <c r="L165" i="1"/>
  <c r="L90" i="1" l="1"/>
  <c r="M163" i="1"/>
  <c r="N91" i="1"/>
  <c r="N252" i="1" s="1"/>
  <c r="N130" i="1"/>
  <c r="N225" i="1" s="1"/>
  <c r="M169" i="1"/>
  <c r="M228" i="1" s="1"/>
  <c r="N97" i="1"/>
  <c r="N138" i="1"/>
  <c r="N226" i="1" s="1"/>
  <c r="N134" i="1"/>
  <c r="M170" i="1" l="1"/>
  <c r="N168" i="1" s="1"/>
  <c r="M164" i="1"/>
  <c r="M227" i="1" s="1"/>
  <c r="M98" i="1" l="1"/>
  <c r="N169" i="1"/>
  <c r="N228" i="1" s="1"/>
  <c r="M165" i="1"/>
  <c r="N170" i="1" l="1"/>
  <c r="N98" i="1" s="1"/>
  <c r="M90" i="1"/>
  <c r="N163" i="1"/>
  <c r="N164" i="1" l="1"/>
  <c r="N227" i="1" s="1"/>
  <c r="N165" i="1" l="1"/>
  <c r="N90" i="1" s="1"/>
  <c r="N214" i="1" l="1"/>
  <c r="N216" i="1"/>
  <c r="N211" i="1"/>
  <c r="N235" i="1"/>
  <c r="N239" i="1"/>
  <c r="N238" i="1"/>
  <c r="N249" i="1"/>
  <c r="N260" i="1"/>
  <c r="N258" i="1"/>
  <c r="N256" i="1"/>
  <c r="L238" i="1"/>
  <c r="L249" i="1"/>
  <c r="L260" i="1"/>
  <c r="L258" i="1"/>
  <c r="L256" i="1"/>
  <c r="K105" i="1"/>
  <c r="K103" i="1"/>
  <c r="L239" i="1"/>
  <c r="L235" i="1"/>
  <c r="L211" i="1"/>
  <c r="L216" i="1"/>
  <c r="L214" i="1"/>
  <c r="M23" i="1"/>
  <c r="L19" i="1"/>
  <c r="L263" i="1"/>
  <c r="J267" i="1"/>
  <c r="K19" i="1"/>
  <c r="K263" i="1"/>
  <c r="J105" i="1"/>
  <c r="J103" i="1"/>
  <c r="M214" i="1"/>
  <c r="M216" i="1"/>
  <c r="M211" i="1"/>
  <c r="M235" i="1"/>
  <c r="M239" i="1"/>
  <c r="J214" i="1"/>
  <c r="J216" i="1"/>
  <c r="J211" i="1"/>
  <c r="J235" i="1"/>
  <c r="J239" i="1"/>
  <c r="N19" i="1"/>
  <c r="N263" i="1"/>
  <c r="J238" i="1"/>
  <c r="N253" i="1"/>
  <c r="K267" i="1"/>
  <c r="K259" i="1"/>
  <c r="K222" i="1"/>
  <c r="K229" i="1"/>
  <c r="K241" i="1"/>
  <c r="L111" i="1"/>
  <c r="L94" i="1"/>
  <c r="L107" i="1"/>
  <c r="L267" i="1"/>
  <c r="K100" i="1"/>
  <c r="K96" i="1"/>
  <c r="K110" i="1"/>
  <c r="M105" i="1"/>
  <c r="M103" i="1"/>
  <c r="K256" i="1"/>
  <c r="K258" i="1"/>
  <c r="K260" i="1"/>
  <c r="K249" i="1"/>
  <c r="K238" i="1"/>
  <c r="L103" i="1"/>
  <c r="L105" i="1"/>
  <c r="M256" i="1"/>
  <c r="M258" i="1"/>
  <c r="M260" i="1"/>
  <c r="M249" i="1"/>
  <c r="M238" i="1"/>
  <c r="L253" i="1"/>
  <c r="N110" i="1"/>
  <c r="N248" i="1"/>
  <c r="N250" i="1"/>
  <c r="N96" i="1"/>
  <c r="N100" i="1"/>
  <c r="N267" i="1"/>
  <c r="N268" i="1"/>
  <c r="K23" i="1"/>
  <c r="N113" i="1"/>
  <c r="N112" i="1"/>
  <c r="N27" i="1"/>
  <c r="N114" i="1"/>
  <c r="N210" i="1"/>
  <c r="J110" i="1"/>
  <c r="J96" i="1"/>
  <c r="J100" i="1"/>
  <c r="L113" i="1"/>
  <c r="L27" i="1"/>
  <c r="L114" i="1"/>
  <c r="L210" i="1"/>
  <c r="L112" i="1"/>
  <c r="J253" i="1"/>
  <c r="N23" i="1"/>
  <c r="K210" i="1"/>
  <c r="K114" i="1"/>
  <c r="K112" i="1"/>
  <c r="K27" i="1"/>
  <c r="K113" i="1"/>
  <c r="M107" i="1"/>
  <c r="M94" i="1"/>
  <c r="M111" i="1"/>
  <c r="K253" i="1"/>
  <c r="L23" i="1"/>
  <c r="K107" i="1"/>
  <c r="K94" i="1"/>
  <c r="K111" i="1"/>
  <c r="N105" i="1"/>
  <c r="J210" i="1"/>
  <c r="J212" i="1"/>
  <c r="K209" i="1"/>
  <c r="K212" i="1"/>
  <c r="L209" i="1"/>
  <c r="L212" i="1"/>
  <c r="M209" i="1"/>
  <c r="M212" i="1"/>
  <c r="N209" i="1"/>
  <c r="N212" i="1"/>
  <c r="N103" i="1"/>
  <c r="M253" i="1"/>
  <c r="J111" i="1"/>
  <c r="J94" i="1"/>
  <c r="J107" i="1"/>
  <c r="N111" i="1"/>
  <c r="N88" i="1"/>
  <c r="N94" i="1"/>
  <c r="N107" i="1"/>
  <c r="M263" i="1"/>
  <c r="M19" i="1"/>
  <c r="L259" i="1"/>
  <c r="K268" i="1"/>
  <c r="L266" i="1"/>
  <c r="L271" i="1"/>
  <c r="L18" i="1"/>
  <c r="L22" i="1"/>
  <c r="L24" i="1"/>
  <c r="L222" i="1"/>
  <c r="L229" i="1"/>
  <c r="L241" i="1"/>
  <c r="J263" i="1"/>
  <c r="J19" i="1"/>
  <c r="K266" i="1"/>
  <c r="K271" i="1"/>
  <c r="K18" i="1"/>
  <c r="K22" i="1"/>
  <c r="K24" i="1"/>
  <c r="K214" i="1"/>
  <c r="K216" i="1"/>
  <c r="K211" i="1"/>
  <c r="K235" i="1"/>
  <c r="K239" i="1"/>
  <c r="M110" i="1"/>
  <c r="M248" i="1"/>
  <c r="M250" i="1"/>
  <c r="M96" i="1"/>
  <c r="M100" i="1"/>
  <c r="M267" i="1"/>
  <c r="M259" i="1"/>
  <c r="M222" i="1"/>
  <c r="M229" i="1"/>
  <c r="M241" i="1"/>
  <c r="J23" i="1"/>
  <c r="H72" i="1"/>
  <c r="H205" i="1"/>
  <c r="H145" i="1"/>
  <c r="H175" i="1"/>
  <c r="H187" i="1"/>
  <c r="H86" i="1"/>
  <c r="H296" i="1"/>
  <c r="H244" i="1"/>
  <c r="H159" i="1"/>
  <c r="H41" i="1"/>
  <c r="H219" i="1"/>
  <c r="H117" i="1"/>
  <c r="G72" i="1"/>
  <c r="G175" i="1"/>
  <c r="G205" i="1"/>
  <c r="G244" i="1"/>
  <c r="G159" i="1"/>
  <c r="G296" i="1"/>
  <c r="G86" i="1"/>
  <c r="G41" i="1"/>
  <c r="G145" i="1"/>
  <c r="G219" i="1"/>
  <c r="G117" i="1"/>
  <c r="G187" i="1"/>
  <c r="I86" i="1"/>
  <c r="I117" i="1"/>
  <c r="I145" i="1"/>
  <c r="I205" i="1"/>
  <c r="I72" i="1"/>
  <c r="I219" i="1"/>
  <c r="I187" i="1"/>
  <c r="I175" i="1"/>
  <c r="I244" i="1"/>
  <c r="I41" i="1"/>
  <c r="I159" i="1"/>
  <c r="I296" i="1"/>
  <c r="F159" i="1"/>
  <c r="F72" i="1"/>
  <c r="F175" i="1"/>
  <c r="F41" i="1"/>
  <c r="F205" i="1"/>
  <c r="F244" i="1"/>
  <c r="F145" i="1"/>
  <c r="F86" i="1"/>
  <c r="F187" i="1"/>
  <c r="F296" i="1"/>
  <c r="F117" i="1"/>
  <c r="F219" i="1"/>
  <c r="E296" i="1"/>
  <c r="E244" i="1"/>
  <c r="E72" i="1"/>
  <c r="E117" i="1"/>
  <c r="E205" i="1"/>
  <c r="E219" i="1"/>
  <c r="E41" i="1"/>
  <c r="E175" i="1"/>
  <c r="E86" i="1"/>
  <c r="E187" i="1"/>
  <c r="E159" i="1"/>
  <c r="E145" i="1"/>
  <c r="D296" i="1"/>
  <c r="D145" i="1"/>
  <c r="D244" i="1"/>
  <c r="D41" i="1"/>
  <c r="D219" i="1"/>
  <c r="D117" i="1"/>
  <c r="D86" i="1"/>
  <c r="D72" i="1"/>
  <c r="D175" i="1"/>
  <c r="D187" i="1"/>
  <c r="D159" i="1"/>
  <c r="H10" i="1"/>
  <c r="G10" i="1"/>
  <c r="F10" i="1"/>
  <c r="E10" i="1"/>
  <c r="D10" i="1"/>
  <c r="D205" i="1"/>
  <c r="N117" i="1"/>
  <c r="N86" i="1"/>
  <c r="N145" i="1"/>
  <c r="N41" i="1"/>
  <c r="N244" i="1"/>
  <c r="N205" i="1"/>
  <c r="N175" i="1"/>
  <c r="N187" i="1"/>
  <c r="N159" i="1"/>
  <c r="N72" i="1"/>
  <c r="N219" i="1"/>
  <c r="N10" i="1"/>
  <c r="N296" i="1"/>
  <c r="M159" i="1"/>
  <c r="M72" i="1"/>
  <c r="M296" i="1"/>
  <c r="M187" i="1"/>
  <c r="M117" i="1"/>
  <c r="M205" i="1"/>
  <c r="M219" i="1"/>
  <c r="M175" i="1"/>
  <c r="M145" i="1"/>
  <c r="M86" i="1"/>
  <c r="M244" i="1"/>
  <c r="M10" i="1"/>
  <c r="M41" i="1"/>
  <c r="K187" i="1"/>
  <c r="K296" i="1"/>
  <c r="K175" i="1"/>
  <c r="K86" i="1"/>
  <c r="K72" i="1"/>
  <c r="K145" i="1"/>
  <c r="K41" i="1"/>
  <c r="K205" i="1"/>
  <c r="K117" i="1"/>
  <c r="K159" i="1"/>
  <c r="K219" i="1"/>
  <c r="K244" i="1"/>
  <c r="J205" i="1"/>
  <c r="J159" i="1"/>
  <c r="J145" i="1"/>
  <c r="J187" i="1"/>
  <c r="J41" i="1"/>
  <c r="J244" i="1"/>
  <c r="J86" i="1"/>
  <c r="J296" i="1"/>
  <c r="J117" i="1"/>
  <c r="J72" i="1"/>
  <c r="J175" i="1"/>
  <c r="J219" i="1"/>
  <c r="L205" i="1"/>
  <c r="L41" i="1"/>
  <c r="L175" i="1"/>
  <c r="L86" i="1"/>
  <c r="L187" i="1"/>
  <c r="L244" i="1"/>
  <c r="L159" i="1"/>
  <c r="L117" i="1"/>
  <c r="L72" i="1"/>
  <c r="L296" i="1"/>
  <c r="L219" i="1"/>
  <c r="I10" i="1"/>
  <c r="J10" i="1"/>
  <c r="K10" i="1"/>
  <c r="L10" i="1"/>
  <c r="L145" i="1"/>
  <c r="L100" i="1"/>
  <c r="J259" i="1"/>
  <c r="J260" i="1"/>
  <c r="J249" i="1"/>
  <c r="J250" i="1"/>
  <c r="K248" i="1"/>
  <c r="K250" i="1"/>
  <c r="L248" i="1"/>
  <c r="L250" i="1"/>
  <c r="L96" i="1"/>
  <c r="L110" i="1"/>
  <c r="N259" i="1"/>
  <c r="M88" i="1"/>
  <c r="M268" i="1"/>
  <c r="N266" i="1"/>
  <c r="N271" i="1"/>
  <c r="N18" i="1"/>
  <c r="N22" i="1"/>
  <c r="N24" i="1"/>
  <c r="N222" i="1"/>
  <c r="N229" i="1"/>
  <c r="N241" i="1"/>
  <c r="M210" i="1"/>
  <c r="M112" i="1"/>
  <c r="M27" i="1"/>
  <c r="M113" i="1"/>
  <c r="K88" i="1"/>
  <c r="L88" i="1"/>
  <c r="L268" i="1"/>
  <c r="M266" i="1"/>
  <c r="M271" i="1"/>
  <c r="M18" i="1"/>
  <c r="M22" i="1"/>
  <c r="M24" i="1"/>
  <c r="M114" i="1"/>
  <c r="J114" i="1"/>
  <c r="J112" i="1"/>
  <c r="J113" i="1"/>
  <c r="J222" i="1"/>
  <c r="J229" i="1"/>
  <c r="J241" i="1"/>
  <c r="J88" i="1"/>
  <c r="J268" i="1"/>
  <c r="J271" i="1"/>
  <c r="J18" i="1"/>
  <c r="J22" i="1"/>
  <c r="J24" i="1"/>
  <c r="J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7" authorId="0" shapeId="0" xr:uid="{00000000-0006-0000-0000-000001000000}">
      <text>
        <r>
          <rPr>
            <sz val="9"/>
            <color rgb="FF000000"/>
            <rFont val="Tahoma"/>
            <family val="2"/>
          </rPr>
          <t xml:space="preserve">If the model "blows up" (i.e. REF and DIV/0 everywhere), turn the circuit breaker above on, and then immediately off again. 
</t>
        </r>
        <r>
          <rPr>
            <sz val="9"/>
            <color rgb="FF000000"/>
            <rFont val="Tahoma"/>
            <family val="2"/>
          </rPr>
          <t xml:space="preserve">
</t>
        </r>
        <r>
          <rPr>
            <sz val="9"/>
            <color rgb="FF000000"/>
            <rFont val="Tahoma Bold"/>
          </rPr>
          <t xml:space="preserve">Why do we need this?
</t>
        </r>
        <r>
          <rPr>
            <sz val="9"/>
            <color rgb="FF000000"/>
            <rFont val="Tahoma"/>
            <family val="2"/>
          </rPr>
          <t xml:space="preserve">This model has an intentional circularity in the calculation of interest expense and interest income. 
</t>
        </r>
        <r>
          <rPr>
            <sz val="9"/>
            <color rgb="FF000000"/>
            <rFont val="Tahoma"/>
            <family val="2"/>
          </rPr>
          <t xml:space="preserve">
</t>
        </r>
        <r>
          <rPr>
            <sz val="9"/>
            <color rgb="FF000000"/>
            <rFont val="Tahoma"/>
            <family val="2"/>
          </rPr>
          <t xml:space="preserve">Interest expense is calculated as interest rate times average current and prior period revolver debt balances. Since current period revolver balance is itself impacted by current period interest expense, the circularity exists.
</t>
        </r>
        <r>
          <rPr>
            <sz val="9"/>
            <color rgb="FF000000"/>
            <rFont val="Tahoma"/>
            <family val="2"/>
          </rPr>
          <t xml:space="preserve">
</t>
        </r>
        <r>
          <rPr>
            <sz val="9"/>
            <color rgb="FF000000"/>
            <rFont val="Tahoma"/>
            <family val="2"/>
          </rPr>
          <t xml:space="preserve">The same logic applies to interest expense.
</t>
        </r>
        <r>
          <rPr>
            <sz val="9"/>
            <color rgb="FF000000"/>
            <rFont val="Tahoma"/>
            <family val="2"/>
          </rPr>
          <t xml:space="preserve">
</t>
        </r>
        <r>
          <rPr>
            <sz val="9"/>
            <color rgb="FF000000"/>
            <rFont val="Tahoma Bold"/>
          </rPr>
          <t xml:space="preserve">Setting Iterations in Excel
</t>
        </r>
        <r>
          <rPr>
            <sz val="9"/>
            <color rgb="FF000000"/>
            <rFont val="Tahoma"/>
            <family val="2"/>
          </rPr>
          <t xml:space="preserve">Make sure that iterations are selected under Excel Options &gt; Formulas
</t>
        </r>
        <r>
          <rPr>
            <sz val="9"/>
            <color rgb="FF000000"/>
            <rFont val="Tahoma"/>
            <family val="2"/>
          </rPr>
          <t xml:space="preserve">
</t>
        </r>
        <r>
          <rPr>
            <sz val="9"/>
            <color rgb="FF000000"/>
            <rFont val="Tahoma Bold"/>
          </rPr>
          <t>Removing circularity altogether</t>
        </r>
        <r>
          <rPr>
            <sz val="9"/>
            <color rgb="FF000000"/>
            <rFont val="Tahoma"/>
            <family val="2"/>
          </rPr>
          <t xml:space="preserve">
</t>
        </r>
        <r>
          <rPr>
            <sz val="9"/>
            <color rgb="FF000000"/>
            <rFont val="Tahoma"/>
            <family val="2"/>
          </rPr>
          <t>To avoid a circularity altogether, calculate interest expense using prior period debt balances (as opposed to average balances).</t>
        </r>
      </text>
    </comment>
  </commentList>
</comments>
</file>

<file path=xl/sharedStrings.xml><?xml version="1.0" encoding="utf-8"?>
<sst xmlns="http://schemas.openxmlformats.org/spreadsheetml/2006/main" count="397" uniqueCount="248">
  <si>
    <t>Company name</t>
  </si>
  <si>
    <t>Circuit breaker:</t>
  </si>
  <si>
    <t xml:space="preserve">Fiscal year  </t>
  </si>
  <si>
    <t>Fiscal year end date</t>
  </si>
  <si>
    <t>Revenue</t>
  </si>
  <si>
    <t>Gross Profit</t>
  </si>
  <si>
    <t>Operating profit (EBIT)</t>
  </si>
  <si>
    <t>Interest received</t>
  </si>
  <si>
    <t>Other income</t>
  </si>
  <si>
    <t>Net Profit Before Tax</t>
  </si>
  <si>
    <t>Net Profit After Tax</t>
  </si>
  <si>
    <t>Basic shares outstanding</t>
  </si>
  <si>
    <t>Basic EPS</t>
  </si>
  <si>
    <t>Growth rates &amp; margins</t>
  </si>
  <si>
    <t>Revenue growth</t>
  </si>
  <si>
    <t>n/a</t>
  </si>
  <si>
    <t>Gross profit as % of sales</t>
  </si>
  <si>
    <t>Expense margin</t>
  </si>
  <si>
    <t>Tax rate</t>
  </si>
  <si>
    <t>EBITDA Adjustments</t>
  </si>
  <si>
    <t>Depreciation</t>
  </si>
  <si>
    <t>Adjustments</t>
  </si>
  <si>
    <t>EBITDA</t>
  </si>
  <si>
    <t>SEGMENTS</t>
  </si>
  <si>
    <t>Product</t>
  </si>
  <si>
    <t>Total</t>
  </si>
  <si>
    <t>% growth</t>
  </si>
  <si>
    <t>Units</t>
  </si>
  <si>
    <t xml:space="preserve">ASPs </t>
  </si>
  <si>
    <t>EBITDA ADJUSTMENTS</t>
  </si>
  <si>
    <t>BALANCE SHEET</t>
  </si>
  <si>
    <t>Cash &amp; Bank Balances</t>
  </si>
  <si>
    <t>Trade Debtors</t>
  </si>
  <si>
    <t>Prepayments</t>
  </si>
  <si>
    <t>Total assets</t>
  </si>
  <si>
    <t>Accounts Payable</t>
  </si>
  <si>
    <t>Total liabilities</t>
  </si>
  <si>
    <t>Paid up Share Capital</t>
  </si>
  <si>
    <t>Retained Earnings</t>
  </si>
  <si>
    <t>Capital Reserve</t>
  </si>
  <si>
    <t>Total equity</t>
  </si>
  <si>
    <t>Balance check</t>
  </si>
  <si>
    <t>Ratios</t>
  </si>
  <si>
    <t>Asset turnover (Revenue / Total assets)</t>
  </si>
  <si>
    <t>Net profit margin</t>
  </si>
  <si>
    <t>Return on assets (ROA)</t>
  </si>
  <si>
    <t>Return on book equity (ROE)</t>
  </si>
  <si>
    <t>WORKING CAPITAL</t>
  </si>
  <si>
    <t>Beginning of period</t>
  </si>
  <si>
    <t>Increases / (decreases)</t>
  </si>
  <si>
    <t>End of period</t>
  </si>
  <si>
    <t>AR as % of sales</t>
  </si>
  <si>
    <t>Days sales outstanding (DSO)</t>
  </si>
  <si>
    <t xml:space="preserve">Inventory </t>
  </si>
  <si>
    <t>Inventory as % of COGS</t>
  </si>
  <si>
    <t>Inventory turnover</t>
  </si>
  <si>
    <t>Accounts payable</t>
  </si>
  <si>
    <t>AP as % of COGS</t>
  </si>
  <si>
    <t>Days payables outstanding (DPO)</t>
  </si>
  <si>
    <t>PROPERTY, PLANT &amp; EQUIPMENT</t>
  </si>
  <si>
    <t>Plus: Capital expenditures</t>
  </si>
  <si>
    <t>Less: Depreciation</t>
  </si>
  <si>
    <t>Capital expenditures as % of revenue</t>
  </si>
  <si>
    <t>OTHER ASSETS / LIABILITIES &amp; DEFERRED TAXES</t>
  </si>
  <si>
    <t>DEBT</t>
  </si>
  <si>
    <t xml:space="preserve">Additional borrowing / (pay down) </t>
  </si>
  <si>
    <t>Interest expense on long term debt</t>
  </si>
  <si>
    <t>Weighted average interest rate</t>
  </si>
  <si>
    <t>CAPITAL STOCK</t>
  </si>
  <si>
    <t>Share Capital</t>
  </si>
  <si>
    <t>Plus: new share issuances</t>
  </si>
  <si>
    <t>New share issuance</t>
  </si>
  <si>
    <t>Reserve</t>
  </si>
  <si>
    <t>RETAINED EARNINGS</t>
  </si>
  <si>
    <t>Retained earnings</t>
  </si>
  <si>
    <t>Plus: NPAT</t>
  </si>
  <si>
    <t>Less: Common dividends</t>
  </si>
  <si>
    <t>NPAT</t>
  </si>
  <si>
    <t>Dividend payout ratio</t>
  </si>
  <si>
    <t>Common dividends</t>
  </si>
  <si>
    <t>CASH FLOW STATEMENT</t>
  </si>
  <si>
    <t>Depreciation and amortization</t>
  </si>
  <si>
    <t>Inventory</t>
  </si>
  <si>
    <t>Cash from operating activities</t>
  </si>
  <si>
    <t>Capital expenditures</t>
  </si>
  <si>
    <t>Cash from investing activities</t>
  </si>
  <si>
    <t>Long term debt</t>
  </si>
  <si>
    <t>New share issuances</t>
  </si>
  <si>
    <t>Share repurchases</t>
  </si>
  <si>
    <t>Overdraft (Revolver)</t>
  </si>
  <si>
    <t>Cash from financing activities</t>
  </si>
  <si>
    <t>Net change in cash during period</t>
  </si>
  <si>
    <t>MODEL PLUG: OVERDRAFT (REVOLVER) &amp; CASH</t>
  </si>
  <si>
    <t>Maximum availability</t>
  </si>
  <si>
    <t>Compliance check</t>
  </si>
  <si>
    <t>Revolver needs analysis</t>
  </si>
  <si>
    <t>Less: Minimum cash desired</t>
  </si>
  <si>
    <t>Equals: Excess cash at BOP</t>
  </si>
  <si>
    <t>Plus: Free cash flows generated during period</t>
  </si>
  <si>
    <t>Equals: Cash available (needed) to paydown (draw from) revolver</t>
  </si>
  <si>
    <t>Interest rate on revolver</t>
  </si>
  <si>
    <t>Interest expense</t>
  </si>
  <si>
    <t>Circularity Breaker here</t>
  </si>
  <si>
    <t>Cash</t>
  </si>
  <si>
    <t>+/- additions</t>
  </si>
  <si>
    <t>Interest rate on cash</t>
  </si>
  <si>
    <t>Interest income</t>
  </si>
  <si>
    <t>P&amp;L</t>
  </si>
  <si>
    <t>Total Adjustments</t>
  </si>
  <si>
    <t>SENSITIVITY ANALYSIS</t>
  </si>
  <si>
    <t>Revenue growth rate</t>
  </si>
  <si>
    <t>Gross</t>
  </si>
  <si>
    <t>Profit</t>
  </si>
  <si>
    <t>Margin:</t>
  </si>
  <si>
    <t>growth</t>
  </si>
  <si>
    <t>SCENARIO ANALYSIS</t>
  </si>
  <si>
    <t>Select an operating scenario:</t>
  </si>
  <si>
    <t>Optimistic</t>
  </si>
  <si>
    <t>Base</t>
  </si>
  <si>
    <t>EBITDA Sensitivity FY2019 (Revenue and GP%)</t>
  </si>
  <si>
    <t>Expense Margin</t>
  </si>
  <si>
    <t>EBITDA Sensitivity FY2019 (Revenue and Expense %)</t>
  </si>
  <si>
    <t>Operating scenario:</t>
  </si>
  <si>
    <t xml:space="preserve">Expenses </t>
  </si>
  <si>
    <t xml:space="preserve">Interest expense </t>
  </si>
  <si>
    <t xml:space="preserve">Other expense </t>
  </si>
  <si>
    <t xml:space="preserve">Depreciation </t>
  </si>
  <si>
    <t xml:space="preserve">Cost of sales </t>
  </si>
  <si>
    <t xml:space="preserve">Taxes </t>
  </si>
  <si>
    <t>Version:</t>
  </si>
  <si>
    <t>Capex</t>
  </si>
  <si>
    <t>Grapester Harvesting Machinery Ltd</t>
  </si>
  <si>
    <t>P = Calculated / Forecast</t>
  </si>
  <si>
    <t>Taxes Payable</t>
  </si>
  <si>
    <t>Less: Share repurchases</t>
  </si>
  <si>
    <t>Commerical Lease</t>
  </si>
  <si>
    <t xml:space="preserve">Maintenance capex </t>
  </si>
  <si>
    <t>Admin staff Australia</t>
  </si>
  <si>
    <t>Admin staff NZ</t>
  </si>
  <si>
    <t>Personal car in business</t>
  </si>
  <si>
    <t>10 series</t>
  </si>
  <si>
    <t>20 series</t>
  </si>
  <si>
    <t>30 series</t>
  </si>
  <si>
    <t>10 series Volume</t>
  </si>
  <si>
    <t>10 series ASP</t>
  </si>
  <si>
    <t>20 series Volume</t>
  </si>
  <si>
    <t>20 series ASP</t>
  </si>
  <si>
    <t>30 series Volume</t>
  </si>
  <si>
    <t>30 series ASP</t>
  </si>
  <si>
    <t>OTT series</t>
  </si>
  <si>
    <t>OTT Volume</t>
  </si>
  <si>
    <t>OTT ASP</t>
  </si>
  <si>
    <t>Pessimistic</t>
  </si>
  <si>
    <t>OTT Launch Volume</t>
  </si>
  <si>
    <t>OTT Launch Price</t>
  </si>
  <si>
    <t>-</t>
  </si>
  <si>
    <t>Transcation Comparables</t>
  </si>
  <si>
    <t>Company</t>
  </si>
  <si>
    <t>EBITDA multiple</t>
  </si>
  <si>
    <t>Low</t>
  </si>
  <si>
    <t>Median</t>
  </si>
  <si>
    <t>High</t>
  </si>
  <si>
    <t>EG1</t>
  </si>
  <si>
    <t>EG2</t>
  </si>
  <si>
    <t>EG3</t>
  </si>
  <si>
    <t>EG4</t>
  </si>
  <si>
    <t>EG5</t>
  </si>
  <si>
    <t>EG6</t>
  </si>
  <si>
    <t>EG7</t>
  </si>
  <si>
    <t>EG8</t>
  </si>
  <si>
    <t>EG9</t>
  </si>
  <si>
    <t>Industry Benchmarks</t>
  </si>
  <si>
    <t>Low-Med</t>
  </si>
  <si>
    <t>Med-High</t>
  </si>
  <si>
    <t>Multiples</t>
  </si>
  <si>
    <t>Range</t>
  </si>
  <si>
    <t>EBITDA % of revenue</t>
  </si>
  <si>
    <t>Average</t>
  </si>
  <si>
    <t>Best-in-Class</t>
  </si>
  <si>
    <t>Grapester</t>
  </si>
  <si>
    <t>EBITDA % of Revenue</t>
  </si>
  <si>
    <t>Assume TTM</t>
  </si>
  <si>
    <t>Assume TTM, adjusted</t>
  </si>
  <si>
    <t>Grapester current</t>
  </si>
  <si>
    <t>Industry average</t>
  </si>
  <si>
    <t>Industry Best-in-Class</t>
  </si>
  <si>
    <t xml:space="preserve">Profit Gap </t>
  </si>
  <si>
    <t>Revenue Multiple</t>
  </si>
  <si>
    <t>Range of Value (current EBITDA)</t>
  </si>
  <si>
    <t>Below average</t>
  </si>
  <si>
    <t>Above average</t>
  </si>
  <si>
    <t>Average Value</t>
  </si>
  <si>
    <t>Range of Value (EBITDA % current vs industry vs BIC)</t>
  </si>
  <si>
    <t>Personal, Financial and Business Assessment</t>
  </si>
  <si>
    <t>Business Attractiveness</t>
  </si>
  <si>
    <t>Score</t>
  </si>
  <si>
    <t>Assessment</t>
  </si>
  <si>
    <t>Business Readiness</t>
  </si>
  <si>
    <t>Financial (personal)</t>
  </si>
  <si>
    <t xml:space="preserve">Personal </t>
  </si>
  <si>
    <t>Average All</t>
  </si>
  <si>
    <t>&lt;50%</t>
  </si>
  <si>
    <t>Best-In-Class</t>
  </si>
  <si>
    <t>Below Average</t>
  </si>
  <si>
    <t>Above Average</t>
  </si>
  <si>
    <t>Business Average</t>
  </si>
  <si>
    <t>Equal or Greater than:</t>
  </si>
  <si>
    <t>72%+</t>
  </si>
  <si>
    <t>51%-57%</t>
  </si>
  <si>
    <t>Green Zone</t>
  </si>
  <si>
    <t>Red Zone</t>
  </si>
  <si>
    <t>Range Assessment</t>
  </si>
  <si>
    <t>= Low-Med Value</t>
  </si>
  <si>
    <t>Value Gap</t>
  </si>
  <si>
    <t>Grapester Current Value</t>
  </si>
  <si>
    <t>Sits in the range at:</t>
  </si>
  <si>
    <t>@ Industry average</t>
  </si>
  <si>
    <t>@Best-in-Class</t>
  </si>
  <si>
    <t>Industry Average</t>
  </si>
  <si>
    <t>Value</t>
  </si>
  <si>
    <t>Gap</t>
  </si>
  <si>
    <t>Multiple</t>
  </si>
  <si>
    <t>Assessment Score</t>
  </si>
  <si>
    <t>67%-71%</t>
  </si>
  <si>
    <t>Net debt (Net cash)</t>
  </si>
  <si>
    <t>Depreciation as a % of capital expenditures</t>
  </si>
  <si>
    <t>Average of last four years</t>
  </si>
  <si>
    <t>OFF</t>
  </si>
  <si>
    <t>Bank Overdraft</t>
  </si>
  <si>
    <t>Overdraft Revolver</t>
  </si>
  <si>
    <t>A = Actual / Variable</t>
  </si>
  <si>
    <t>Property, Plant &amp; Equip.</t>
  </si>
  <si>
    <t>Accounting Mgr salary adj.</t>
  </si>
  <si>
    <t>Sales Mgr salary adj.</t>
  </si>
  <si>
    <t>CEO salary market adj.</t>
  </si>
  <si>
    <t>58%-66%</t>
  </si>
  <si>
    <t xml:space="preserve">Medium </t>
  </si>
  <si>
    <t>Medium</t>
  </si>
  <si>
    <t>Range of Value</t>
  </si>
  <si>
    <t>Multiple Description</t>
  </si>
  <si>
    <t>Revenue Multiple range</t>
  </si>
  <si>
    <t>EBITDA Multiple range</t>
  </si>
  <si>
    <t>Assessment Score Zone</t>
  </si>
  <si>
    <t>Value at EBITDA multiple</t>
  </si>
  <si>
    <t>Value at Revenue multiple</t>
  </si>
  <si>
    <t>"Selling a NZ Business with 'No Regrets'" book: Grapester Case Study Financial Statement Model and Assessments</t>
  </si>
  <si>
    <t>EBITDA Sensitivity FY2019 (Revenue and Volume)</t>
  </si>
  <si>
    <t>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</si>
</sst>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44" formatCode="_(&quot;$&quot;* #,##0.00_);_(&quot;$&quot;* \(#,##0.00\);_(&quot;$&quot;* &quot;-&quot;??_);_(@_)"/>
    <numFmt numFmtId="43" formatCode="_(* #,##0.00_);_(* \(#,##0.00\);_(* &quot;-&quot;??_);_(@_)"/>
    <numFmt numFmtId="164" formatCode="#,##0.0_);\(#,##0.0\)"/>
    <numFmt numFmtId="165" formatCode="0;[Red]0"/>
    <numFmt numFmtId="166" formatCode="[$$-1409]#,##0.00_);\([$$-1409]#,##0.00\)"/>
    <numFmt numFmtId="167" formatCode="0.0%_);\(0.0%\)"/>
    <numFmt numFmtId="168" formatCode="[$$-1409]#,##0.0_);\([$$-1409]#,##0.0\)"/>
    <numFmt numFmtId="169" formatCode="0.00_);\(0.00\)"/>
    <numFmt numFmtId="170" formatCode="0.0"/>
    <numFmt numFmtId="171" formatCode="0\P"/>
    <numFmt numFmtId="172" formatCode="0\A"/>
    <numFmt numFmtId="173" formatCode="0\P_);\(0\P\)"/>
    <numFmt numFmtId="174" formatCode="0.0%;\(0.0%\)"/>
    <numFmt numFmtId="175" formatCode="0.0%;\ \(0.0%\)"/>
    <numFmt numFmtId="176" formatCode="#,##0.00_);\(#,##0.00\);@_)"/>
    <numFmt numFmtId="177" formatCode="0.0%"/>
    <numFmt numFmtId="178" formatCode="#,##0_);\(#,##0\);@_)"/>
    <numFmt numFmtId="179" formatCode="&quot;$&quot;#,##0_);\(&quot;$&quot;#,##0\);@_)"/>
    <numFmt numFmtId="180" formatCode="0.0%_);\(0.0%\);@_)"/>
    <numFmt numFmtId="181" formatCode="#,##0.0"/>
    <numFmt numFmtId="182" formatCode="0.0\x"/>
    <numFmt numFmtId="183" formatCode="_(&quot;$&quot;* #,##0_);_(&quot;$&quot;* \(#,##0\);_(&quot;$&quot;* &quot;-&quot;??_);_(@_)"/>
    <numFmt numFmtId="184" formatCode="0.00\x"/>
    <numFmt numFmtId="185" formatCode="0.00%_);\(0.00%\)"/>
    <numFmt numFmtId="186" formatCode="0%_);\(0%\)"/>
  </numFmts>
  <fonts count="40">
    <font>
      <sz val="11"/>
      <color indexed="0"/>
      <name val="Calibri"/>
    </font>
    <font>
      <sz val="12"/>
      <color theme="1"/>
      <name val="Calibri"/>
      <family val="2"/>
      <scheme val="minor"/>
    </font>
    <font>
      <sz val="12"/>
      <color theme="1"/>
      <name val="Calibri"/>
      <family val="2"/>
      <scheme val="minor"/>
    </font>
    <font>
      <sz val="12"/>
      <color indexed="0"/>
      <name val="Calibri"/>
      <family val="2"/>
    </font>
    <font>
      <sz val="20"/>
      <color indexed="0"/>
      <name val="Calibri Bold"/>
    </font>
    <font>
      <sz val="11"/>
      <color indexed="0"/>
      <name val="Calibri Italic"/>
    </font>
    <font>
      <sz val="12"/>
      <color indexed="9"/>
      <name val="Calibri Bold"/>
    </font>
    <font>
      <sz val="12"/>
      <color indexed="0"/>
      <name val="Calibri Italic"/>
    </font>
    <font>
      <sz val="11"/>
      <color indexed="10"/>
      <name val="Calibri"/>
      <family val="2"/>
    </font>
    <font>
      <sz val="9"/>
      <color rgb="FF000000"/>
      <name val="Tahoma"/>
      <family val="2"/>
    </font>
    <font>
      <sz val="9"/>
      <color rgb="FF000000"/>
      <name val="Tahoma Bold"/>
    </font>
    <font>
      <sz val="11"/>
      <color indexed="0"/>
      <name val="Calibri"/>
      <family val="2"/>
    </font>
    <font>
      <b/>
      <sz val="12"/>
      <color theme="1"/>
      <name val="Calibri"/>
      <family val="2"/>
      <scheme val="minor"/>
    </font>
    <font>
      <sz val="11"/>
      <color indexed="0"/>
      <name val="Calibri"/>
      <family val="2"/>
    </font>
    <font>
      <i/>
      <sz val="12"/>
      <color rgb="FF0432FF"/>
      <name val="Calibri"/>
      <family val="2"/>
    </font>
    <font>
      <i/>
      <sz val="12"/>
      <color indexed="0"/>
      <name val="Calibri"/>
      <family val="2"/>
    </font>
    <font>
      <sz val="11"/>
      <color indexed="0"/>
      <name val="Calibri"/>
      <family val="2"/>
    </font>
    <font>
      <b/>
      <sz val="11"/>
      <name val="Calibri"/>
      <family val="2"/>
    </font>
    <font>
      <sz val="8"/>
      <name val="Calibri"/>
      <family val="2"/>
    </font>
    <font>
      <sz val="14"/>
      <color indexed="0"/>
      <name val="Calibri"/>
      <family val="2"/>
    </font>
    <font>
      <sz val="14"/>
      <color indexed="0"/>
      <name val="Calibri Bold"/>
    </font>
    <font>
      <sz val="14"/>
      <color indexed="9"/>
      <name val="Calibri Bold"/>
    </font>
    <font>
      <sz val="14"/>
      <color rgb="FF0432FF"/>
      <name val="Calibri"/>
      <family val="2"/>
    </font>
    <font>
      <sz val="14"/>
      <color rgb="FF00B0F0"/>
      <name val="Calibri"/>
      <family val="2"/>
    </font>
    <font>
      <u/>
      <sz val="14"/>
      <name val="Calibri"/>
      <family val="2"/>
    </font>
    <font>
      <sz val="14"/>
      <color indexed="0"/>
      <name val="Calibri Italic"/>
    </font>
    <font>
      <sz val="14"/>
      <color indexed="10"/>
      <name val="Calibri Italic"/>
    </font>
    <font>
      <sz val="14"/>
      <color rgb="FF0432FF"/>
      <name val="Calibri Italic"/>
    </font>
    <font>
      <sz val="14"/>
      <color indexed="10"/>
      <name val="Calibri"/>
      <family val="2"/>
    </font>
    <font>
      <u/>
      <sz val="14"/>
      <color indexed="0"/>
      <name val="Calibri"/>
      <family val="2"/>
    </font>
    <font>
      <i/>
      <sz val="14"/>
      <name val="Calibri"/>
      <family val="2"/>
    </font>
    <font>
      <b/>
      <sz val="14"/>
      <name val="Calibri"/>
      <family val="2"/>
    </font>
    <font>
      <sz val="14"/>
      <name val="Calibri"/>
      <family val="2"/>
    </font>
    <font>
      <b/>
      <sz val="14"/>
      <color theme="1"/>
      <name val="Calibri"/>
      <family val="2"/>
      <scheme val="minor"/>
    </font>
    <font>
      <sz val="14"/>
      <color theme="1"/>
      <name val="Calibri"/>
      <family val="2"/>
      <scheme val="minor"/>
    </font>
    <font>
      <sz val="14"/>
      <color rgb="FF0000FF"/>
      <name val="Calibri"/>
      <family val="2"/>
      <scheme val="minor"/>
    </font>
    <font>
      <b/>
      <sz val="14"/>
      <color rgb="FF0000FF"/>
      <name val="Calibri"/>
      <family val="2"/>
      <scheme val="minor"/>
    </font>
    <font>
      <sz val="11"/>
      <color indexed="0"/>
      <name val="Calibri"/>
      <family val="2"/>
    </font>
    <font>
      <b/>
      <sz val="14"/>
      <color indexed="0"/>
      <name val="Calibri"/>
      <family val="2"/>
    </font>
    <font>
      <sz val="14"/>
      <color rgb="FF0000D4"/>
      <name val="Calibri"/>
      <family val="2"/>
    </font>
  </fonts>
  <fills count="6">
    <fill>
      <patternFill patternType="none"/>
    </fill>
    <fill>
      <patternFill patternType="gray125"/>
    </fill>
    <fill>
      <patternFill patternType="solid">
        <fgColor theme="2" tint="-0.499984740745262"/>
        <bgColor indexed="64"/>
      </patternFill>
    </fill>
    <fill>
      <patternFill patternType="solid">
        <fgColor rgb="FF00FA00"/>
        <bgColor indexed="64"/>
      </patternFill>
    </fill>
    <fill>
      <patternFill patternType="solid">
        <fgColor rgb="FFFFFF00"/>
        <bgColor indexed="64"/>
      </patternFill>
    </fill>
    <fill>
      <patternFill patternType="solid">
        <fgColor rgb="FFFFAA79"/>
        <bgColor indexed="64"/>
      </patternFill>
    </fill>
  </fills>
  <borders count="2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8"/>
      </bottom>
      <diagonal/>
    </border>
    <border>
      <left/>
      <right/>
      <top/>
      <bottom style="thin">
        <color rgb="FF000000"/>
      </bottom>
      <diagonal/>
    </border>
    <border>
      <left/>
      <right/>
      <top/>
      <bottom style="medium">
        <color rgb="FF000000"/>
      </bottom>
      <diagonal/>
    </border>
    <border>
      <left style="thin">
        <color rgb="FF000000"/>
      </left>
      <right/>
      <top style="thin">
        <color rgb="FF000000"/>
      </top>
      <bottom/>
      <diagonal/>
    </border>
    <border>
      <left/>
      <right/>
      <top style="thin">
        <color rgb="FF000000"/>
      </top>
      <bottom style="medium">
        <color rgb="FF000000"/>
      </bottom>
      <diagonal/>
    </border>
    <border>
      <left style="thin">
        <color rgb="FF000000"/>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8"/>
      </left>
      <right style="thin">
        <color indexed="8"/>
      </right>
      <top/>
      <bottom/>
      <diagonal/>
    </border>
    <border>
      <left/>
      <right/>
      <top style="thin">
        <color indexed="8"/>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8"/>
      </bottom>
      <diagonal/>
    </border>
    <border>
      <left/>
      <right/>
      <top/>
      <bottom style="thin">
        <color indexed="64"/>
      </bottom>
      <diagonal/>
    </border>
    <border>
      <left style="thin">
        <color rgb="FFC0C0C0"/>
      </left>
      <right style="thin">
        <color rgb="FFC0C0C0"/>
      </right>
      <top style="thin">
        <color rgb="FFC0C0C0"/>
      </top>
      <bottom style="thin">
        <color rgb="FFC0C0C0"/>
      </bottom>
      <diagonal/>
    </border>
  </borders>
  <cellStyleXfs count="7">
    <xf numFmtId="0" fontId="0" fillId="0" borderId="0" applyNumberFormat="0" applyFill="0" applyBorder="0" applyProtection="0"/>
    <xf numFmtId="0" fontId="2" fillId="0" borderId="0"/>
    <xf numFmtId="43" fontId="2" fillId="0" borderId="0" applyFont="0" applyFill="0" applyBorder="0" applyAlignment="0" applyProtection="0"/>
    <xf numFmtId="9" fontId="13" fillId="0" borderId="0" applyFont="0" applyFill="0" applyBorder="0" applyAlignment="0" applyProtection="0"/>
    <xf numFmtId="0" fontId="11" fillId="0" borderId="0" applyNumberFormat="0" applyFill="0" applyBorder="0" applyProtection="0"/>
    <xf numFmtId="44" fontId="16" fillId="0" borderId="0" applyFont="0" applyFill="0" applyBorder="0" applyAlignment="0" applyProtection="0"/>
    <xf numFmtId="43" fontId="37" fillId="0" borderId="0" applyFont="0" applyFill="0" applyBorder="0" applyAlignment="0" applyProtection="0"/>
  </cellStyleXfs>
  <cellXfs count="195">
    <xf numFmtId="0" fontId="0" fillId="0" borderId="0" xfId="0"/>
    <xf numFmtId="0" fontId="0" fillId="0" borderId="0" xfId="0" applyNumberFormat="1" applyFont="1" applyAlignment="1"/>
    <xf numFmtId="0" fontId="3" fillId="0" borderId="1" xfId="0" applyNumberFormat="1" applyFont="1" applyBorder="1" applyAlignment="1"/>
    <xf numFmtId="0" fontId="3" fillId="0" borderId="2" xfId="0" applyNumberFormat="1" applyFont="1" applyBorder="1" applyAlignment="1"/>
    <xf numFmtId="0" fontId="4" fillId="0" borderId="3" xfId="0" applyNumberFormat="1" applyFont="1" applyBorder="1" applyAlignment="1"/>
    <xf numFmtId="0" fontId="3" fillId="0" borderId="3" xfId="0" applyNumberFormat="1" applyFont="1" applyBorder="1" applyAlignment="1"/>
    <xf numFmtId="14" fontId="5" fillId="0" borderId="4" xfId="0" applyNumberFormat="1" applyFont="1" applyBorder="1" applyAlignment="1">
      <alignment horizontal="left"/>
    </xf>
    <xf numFmtId="0" fontId="6" fillId="0" borderId="4" xfId="0" applyNumberFormat="1" applyFont="1" applyBorder="1" applyAlignment="1"/>
    <xf numFmtId="0" fontId="3" fillId="0" borderId="4" xfId="0" applyNumberFormat="1" applyFont="1" applyBorder="1" applyAlignment="1"/>
    <xf numFmtId="14" fontId="7" fillId="0" borderId="1" xfId="0" applyNumberFormat="1" applyFont="1" applyBorder="1" applyAlignment="1"/>
    <xf numFmtId="0" fontId="6" fillId="0" borderId="1" xfId="0" applyNumberFormat="1" applyFont="1" applyBorder="1" applyAlignment="1"/>
    <xf numFmtId="0" fontId="0" fillId="0" borderId="1" xfId="0" applyNumberFormat="1" applyFont="1" applyBorder="1" applyAlignment="1"/>
    <xf numFmtId="0" fontId="8" fillId="0" borderId="1" xfId="0" applyNumberFormat="1" applyFont="1" applyBorder="1" applyAlignment="1">
      <alignment horizontal="right"/>
    </xf>
    <xf numFmtId="14" fontId="8" fillId="0" borderId="1" xfId="0" applyNumberFormat="1" applyFont="1" applyBorder="1" applyAlignment="1">
      <alignment horizontal="right"/>
    </xf>
    <xf numFmtId="164" fontId="8" fillId="0" borderId="1" xfId="0" applyNumberFormat="1" applyFont="1" applyBorder="1" applyAlignment="1">
      <alignment horizontal="right"/>
    </xf>
    <xf numFmtId="37" fontId="3" fillId="0" borderId="1" xfId="0" applyNumberFormat="1" applyFont="1" applyBorder="1" applyAlignment="1"/>
    <xf numFmtId="0" fontId="11" fillId="0" borderId="0" xfId="0" applyFont="1"/>
    <xf numFmtId="0" fontId="3" fillId="0" borderId="13" xfId="0" applyFont="1" applyBorder="1"/>
    <xf numFmtId="14" fontId="12" fillId="0" borderId="14" xfId="0" applyNumberFormat="1" applyFont="1" applyFill="1" applyBorder="1" applyAlignment="1">
      <alignment horizontal="right"/>
    </xf>
    <xf numFmtId="0" fontId="1" fillId="0" borderId="12" xfId="0" applyFont="1" applyFill="1" applyBorder="1"/>
    <xf numFmtId="0" fontId="0" fillId="0" borderId="1" xfId="0" applyNumberFormat="1" applyFont="1" applyBorder="1" applyAlignment="1">
      <alignment horizontal="right"/>
    </xf>
    <xf numFmtId="37" fontId="3" fillId="0" borderId="17" xfId="0" applyNumberFormat="1" applyFont="1" applyBorder="1" applyAlignment="1"/>
    <xf numFmtId="0" fontId="3" fillId="0" borderId="18" xfId="0" applyNumberFormat="1" applyFont="1" applyBorder="1" applyAlignment="1"/>
    <xf numFmtId="0" fontId="3" fillId="0" borderId="19" xfId="0" applyNumberFormat="1" applyFont="1" applyBorder="1" applyAlignment="1"/>
    <xf numFmtId="0" fontId="14" fillId="0" borderId="0" xfId="0" applyNumberFormat="1" applyFont="1" applyBorder="1" applyAlignment="1">
      <alignment horizontal="right"/>
    </xf>
    <xf numFmtId="0" fontId="8" fillId="0" borderId="1" xfId="0" applyNumberFormat="1" applyFont="1" applyBorder="1" applyAlignment="1">
      <alignment horizontal="left"/>
    </xf>
    <xf numFmtId="0" fontId="15" fillId="0" borderId="0" xfId="0" applyNumberFormat="1" applyFont="1" applyBorder="1" applyAlignment="1">
      <alignment horizontal="left"/>
    </xf>
    <xf numFmtId="0" fontId="0" fillId="0" borderId="0" xfId="0"/>
    <xf numFmtId="0" fontId="17" fillId="0" borderId="0" xfId="0" applyFont="1"/>
    <xf numFmtId="9" fontId="0" fillId="0" borderId="0" xfId="0" applyNumberFormat="1"/>
    <xf numFmtId="0" fontId="11" fillId="3" borderId="0" xfId="0" applyFont="1" applyFill="1"/>
    <xf numFmtId="0" fontId="11" fillId="4" borderId="0" xfId="0" applyFont="1" applyFill="1"/>
    <xf numFmtId="0" fontId="11" fillId="5" borderId="0" xfId="0" applyFont="1" applyFill="1"/>
    <xf numFmtId="0" fontId="0" fillId="0" borderId="0" xfId="0" applyAlignment="1">
      <alignment horizontal="center" vertical="top" wrapText="1"/>
    </xf>
    <xf numFmtId="0" fontId="11" fillId="5" borderId="0" xfId="0" applyFont="1" applyFill="1" applyAlignment="1">
      <alignment horizontal="center"/>
    </xf>
    <xf numFmtId="9" fontId="11" fillId="4" borderId="0" xfId="0" applyNumberFormat="1" applyFont="1" applyFill="1" applyAlignment="1">
      <alignment horizontal="center"/>
    </xf>
    <xf numFmtId="9" fontId="11" fillId="3" borderId="0" xfId="0" applyNumberFormat="1" applyFont="1" applyFill="1" applyAlignment="1">
      <alignment horizontal="center"/>
    </xf>
    <xf numFmtId="0" fontId="19" fillId="0" borderId="1" xfId="0" applyNumberFormat="1" applyFont="1" applyBorder="1" applyAlignment="1"/>
    <xf numFmtId="0" fontId="20" fillId="0" borderId="5" xfId="0" applyNumberFormat="1" applyFont="1" applyBorder="1" applyAlignment="1"/>
    <xf numFmtId="0" fontId="21" fillId="0" borderId="5" xfId="0" applyNumberFormat="1" applyFont="1" applyBorder="1" applyAlignment="1"/>
    <xf numFmtId="0" fontId="19" fillId="0" borderId="5" xfId="0" applyNumberFormat="1" applyFont="1" applyBorder="1" applyAlignment="1"/>
    <xf numFmtId="0" fontId="22" fillId="0" borderId="20" xfId="0" applyNumberFormat="1" applyFont="1" applyBorder="1" applyAlignment="1">
      <alignment horizontal="right"/>
    </xf>
    <xf numFmtId="0" fontId="23" fillId="0" borderId="20" xfId="0" applyNumberFormat="1" applyFont="1" applyBorder="1" applyAlignment="1">
      <alignment horizontal="right"/>
    </xf>
    <xf numFmtId="0" fontId="19" fillId="0" borderId="20" xfId="0" applyNumberFormat="1" applyFont="1" applyBorder="1" applyAlignment="1">
      <alignment horizontal="right"/>
    </xf>
    <xf numFmtId="0" fontId="19" fillId="0" borderId="0" xfId="0" applyNumberFormat="1" applyFont="1" applyAlignment="1"/>
    <xf numFmtId="0" fontId="19" fillId="0" borderId="6" xfId="0" applyNumberFormat="1" applyFont="1" applyBorder="1" applyAlignment="1"/>
    <xf numFmtId="165" fontId="20" fillId="0" borderId="6" xfId="0" applyNumberFormat="1" applyFont="1" applyBorder="1" applyAlignment="1"/>
    <xf numFmtId="172" fontId="20" fillId="0" borderId="6" xfId="0" applyNumberFormat="1" applyFont="1" applyBorder="1" applyAlignment="1"/>
    <xf numFmtId="171" fontId="20" fillId="0" borderId="6" xfId="0" applyNumberFormat="1" applyFont="1" applyBorder="1" applyAlignment="1"/>
    <xf numFmtId="0" fontId="24" fillId="0" borderId="1" xfId="0" applyNumberFormat="1" applyFont="1" applyBorder="1" applyAlignment="1"/>
    <xf numFmtId="0" fontId="24" fillId="0" borderId="0" xfId="0" applyNumberFormat="1" applyFont="1" applyAlignment="1"/>
    <xf numFmtId="0" fontId="25" fillId="0" borderId="5" xfId="0" applyNumberFormat="1" applyFont="1" applyBorder="1" applyAlignment="1"/>
    <xf numFmtId="14" fontId="26" fillId="0" borderId="5" xfId="0" applyNumberFormat="1" applyFont="1" applyBorder="1" applyAlignment="1"/>
    <xf numFmtId="14" fontId="27" fillId="0" borderId="5" xfId="0" applyNumberFormat="1" applyFont="1" applyBorder="1" applyAlignment="1"/>
    <xf numFmtId="14" fontId="25" fillId="0" borderId="5" xfId="0" applyNumberFormat="1" applyFont="1" applyBorder="1" applyAlignment="1"/>
    <xf numFmtId="0" fontId="25" fillId="0" borderId="6" xfId="0" applyNumberFormat="1" applyFont="1" applyBorder="1" applyAlignment="1"/>
    <xf numFmtId="14" fontId="26" fillId="0" borderId="6" xfId="0" applyNumberFormat="1" applyFont="1" applyBorder="1" applyAlignment="1"/>
    <xf numFmtId="9" fontId="26" fillId="0" borderId="6" xfId="0" applyNumberFormat="1" applyFont="1" applyBorder="1" applyAlignment="1"/>
    <xf numFmtId="14" fontId="25" fillId="0" borderId="6" xfId="0" applyNumberFormat="1" applyFont="1" applyBorder="1" applyAlignment="1"/>
    <xf numFmtId="37" fontId="28" fillId="0" borderId="1" xfId="0" applyNumberFormat="1" applyFont="1" applyBorder="1" applyAlignment="1"/>
    <xf numFmtId="37" fontId="22" fillId="0" borderId="1" xfId="0" applyNumberFormat="1" applyFont="1" applyBorder="1" applyAlignment="1"/>
    <xf numFmtId="3" fontId="19" fillId="0" borderId="1" xfId="0" applyNumberFormat="1" applyFont="1" applyBorder="1" applyAlignment="1"/>
    <xf numFmtId="9" fontId="19" fillId="0" borderId="1" xfId="0" applyNumberFormat="1" applyFont="1" applyBorder="1" applyAlignment="1"/>
    <xf numFmtId="37" fontId="19" fillId="0" borderId="1" xfId="0" applyNumberFormat="1" applyFont="1" applyFill="1" applyBorder="1" applyAlignment="1"/>
    <xf numFmtId="0" fontId="20" fillId="0" borderId="1" xfId="0" applyNumberFormat="1" applyFont="1" applyBorder="1" applyAlignment="1"/>
    <xf numFmtId="37" fontId="20" fillId="0" borderId="1" xfId="0" applyNumberFormat="1" applyFont="1" applyBorder="1" applyAlignment="1"/>
    <xf numFmtId="37" fontId="20" fillId="0" borderId="1" xfId="0" applyNumberFormat="1" applyFont="1" applyFill="1" applyBorder="1" applyAlignment="1"/>
    <xf numFmtId="0" fontId="19" fillId="0" borderId="1" xfId="0" applyNumberFormat="1" applyFont="1" applyFill="1" applyBorder="1" applyAlignment="1"/>
    <xf numFmtId="1" fontId="28" fillId="0" borderId="1" xfId="0" applyNumberFormat="1" applyFont="1" applyBorder="1" applyAlignment="1"/>
    <xf numFmtId="166" fontId="19" fillId="0" borderId="1" xfId="0" applyNumberFormat="1" applyFont="1" applyBorder="1" applyAlignment="1"/>
    <xf numFmtId="166" fontId="19" fillId="0" borderId="1" xfId="0" applyNumberFormat="1" applyFont="1" applyFill="1" applyBorder="1" applyAlignment="1"/>
    <xf numFmtId="0" fontId="29" fillId="0" borderId="1" xfId="0" applyNumberFormat="1" applyFont="1" applyBorder="1" applyAlignment="1"/>
    <xf numFmtId="0" fontId="19" fillId="0" borderId="1" xfId="0" applyNumberFormat="1" applyFont="1" applyBorder="1" applyAlignment="1">
      <alignment horizontal="left"/>
    </xf>
    <xf numFmtId="167" fontId="19" fillId="0" borderId="1" xfId="0" applyNumberFormat="1" applyFont="1" applyBorder="1" applyAlignment="1"/>
    <xf numFmtId="167" fontId="19" fillId="0" borderId="1" xfId="0" applyNumberFormat="1" applyFont="1" applyFill="1" applyBorder="1" applyAlignment="1"/>
    <xf numFmtId="177" fontId="22" fillId="0" borderId="1" xfId="0" applyNumberFormat="1" applyFont="1" applyFill="1" applyBorder="1" applyAlignment="1"/>
    <xf numFmtId="3" fontId="28" fillId="0" borderId="1" xfId="0" applyNumberFormat="1" applyFont="1" applyBorder="1" applyAlignment="1"/>
    <xf numFmtId="37" fontId="19" fillId="0" borderId="1" xfId="0" applyNumberFormat="1" applyFont="1" applyBorder="1" applyAlignment="1"/>
    <xf numFmtId="0" fontId="20" fillId="0" borderId="1" xfId="0" applyNumberFormat="1" applyFont="1" applyBorder="1" applyAlignment="1">
      <alignment horizontal="left"/>
    </xf>
    <xf numFmtId="3" fontId="20" fillId="0" borderId="1" xfId="0" applyNumberFormat="1" applyFont="1" applyBorder="1" applyAlignment="1"/>
    <xf numFmtId="3" fontId="20" fillId="0" borderId="1" xfId="0" applyNumberFormat="1" applyFont="1" applyFill="1" applyBorder="1" applyAlignment="1"/>
    <xf numFmtId="0" fontId="30" fillId="0" borderId="1" xfId="0" applyNumberFormat="1" applyFont="1" applyBorder="1" applyAlignment="1"/>
    <xf numFmtId="37" fontId="30" fillId="0" borderId="1" xfId="0" applyNumberFormat="1" applyFont="1" applyFill="1" applyBorder="1" applyAlignment="1"/>
    <xf numFmtId="0" fontId="20" fillId="0" borderId="6" xfId="0" applyNumberFormat="1" applyFont="1" applyBorder="1" applyAlignment="1"/>
    <xf numFmtId="181" fontId="28" fillId="0" borderId="1" xfId="0" applyNumberFormat="1" applyFont="1" applyBorder="1" applyAlignment="1"/>
    <xf numFmtId="3" fontId="19" fillId="0" borderId="1" xfId="0" applyNumberFormat="1" applyFont="1" applyFill="1" applyBorder="1" applyAlignment="1"/>
    <xf numFmtId="9" fontId="19" fillId="0" borderId="0" xfId="0" applyNumberFormat="1" applyFont="1" applyAlignment="1"/>
    <xf numFmtId="164" fontId="19" fillId="0" borderId="1" xfId="0" applyNumberFormat="1" applyFont="1" applyBorder="1" applyAlignment="1"/>
    <xf numFmtId="167" fontId="19" fillId="0" borderId="1" xfId="0" applyNumberFormat="1" applyFont="1" applyBorder="1" applyAlignment="1">
      <alignment horizontal="center"/>
    </xf>
    <xf numFmtId="167" fontId="28" fillId="0" borderId="1" xfId="0" applyNumberFormat="1" applyFont="1" applyBorder="1" applyAlignment="1"/>
    <xf numFmtId="14" fontId="25" fillId="0" borderId="1" xfId="0" applyNumberFormat="1" applyFont="1" applyBorder="1" applyAlignment="1"/>
    <xf numFmtId="165" fontId="20" fillId="0" borderId="1" xfId="0" applyNumberFormat="1" applyFont="1" applyBorder="1" applyAlignment="1"/>
    <xf numFmtId="0" fontId="19" fillId="0" borderId="6" xfId="0" applyNumberFormat="1" applyFont="1" applyBorder="1" applyAlignment="1">
      <alignment horizontal="left"/>
    </xf>
    <xf numFmtId="167" fontId="19" fillId="0" borderId="6" xfId="0" applyNumberFormat="1" applyFont="1" applyBorder="1" applyAlignment="1"/>
    <xf numFmtId="167" fontId="28" fillId="0" borderId="6" xfId="0" applyNumberFormat="1" applyFont="1" applyBorder="1" applyAlignment="1"/>
    <xf numFmtId="0" fontId="19" fillId="0" borderId="0" xfId="0" applyFont="1"/>
    <xf numFmtId="3" fontId="22" fillId="0" borderId="1" xfId="0" applyNumberFormat="1" applyFont="1" applyBorder="1" applyAlignment="1"/>
    <xf numFmtId="0" fontId="31" fillId="0" borderId="1" xfId="0" applyNumberFormat="1" applyFont="1" applyBorder="1" applyAlignment="1">
      <alignment horizontal="left"/>
    </xf>
    <xf numFmtId="37" fontId="31" fillId="0" borderId="1" xfId="0" applyNumberFormat="1" applyFont="1" applyBorder="1" applyAlignment="1"/>
    <xf numFmtId="181" fontId="28" fillId="0" borderId="21" xfId="0" applyNumberFormat="1" applyFont="1" applyBorder="1" applyAlignment="1"/>
    <xf numFmtId="3" fontId="22" fillId="0" borderId="6" xfId="0" applyNumberFormat="1" applyFont="1" applyBorder="1" applyAlignment="1"/>
    <xf numFmtId="37" fontId="19" fillId="0" borderId="6" xfId="0" applyNumberFormat="1" applyFont="1" applyBorder="1" applyAlignment="1"/>
    <xf numFmtId="2" fontId="19" fillId="0" borderId="17" xfId="0" applyNumberFormat="1" applyFont="1" applyBorder="1" applyAlignment="1"/>
    <xf numFmtId="37" fontId="31" fillId="0" borderId="0" xfId="0" applyNumberFormat="1" applyFont="1" applyBorder="1" applyAlignment="1"/>
    <xf numFmtId="0" fontId="19" fillId="0" borderId="17" xfId="0" applyNumberFormat="1" applyFont="1" applyBorder="1" applyAlignment="1"/>
    <xf numFmtId="181" fontId="28" fillId="0" borderId="0" xfId="0" applyNumberFormat="1" applyFont="1" applyBorder="1" applyAlignment="1"/>
    <xf numFmtId="3" fontId="22" fillId="0" borderId="18" xfId="0" applyNumberFormat="1" applyFont="1" applyBorder="1" applyAlignment="1"/>
    <xf numFmtId="3" fontId="28" fillId="0" borderId="22" xfId="0" applyNumberFormat="1" applyFont="1" applyBorder="1" applyAlignment="1"/>
    <xf numFmtId="37" fontId="32" fillId="0" borderId="0" xfId="0" applyNumberFormat="1" applyFont="1" applyBorder="1" applyAlignment="1"/>
    <xf numFmtId="168" fontId="20" fillId="0" borderId="1" xfId="0" applyNumberFormat="1" applyFont="1" applyBorder="1" applyAlignment="1">
      <alignment horizontal="left"/>
    </xf>
    <xf numFmtId="3" fontId="22" fillId="0" borderId="17" xfId="0" applyNumberFormat="1" applyFont="1" applyBorder="1" applyAlignment="1"/>
    <xf numFmtId="3" fontId="19" fillId="0" borderId="17" xfId="0" applyNumberFormat="1" applyFont="1" applyBorder="1" applyAlignment="1"/>
    <xf numFmtId="37" fontId="25" fillId="0" borderId="1" xfId="0" applyNumberFormat="1" applyFont="1" applyBorder="1" applyAlignment="1"/>
    <xf numFmtId="0" fontId="25" fillId="0" borderId="1" xfId="0" applyNumberFormat="1" applyFont="1" applyBorder="1" applyAlignment="1"/>
    <xf numFmtId="39" fontId="25" fillId="0" borderId="1" xfId="0" applyNumberFormat="1" applyFont="1" applyBorder="1" applyAlignment="1"/>
    <xf numFmtId="39" fontId="19" fillId="0" borderId="0" xfId="0" applyNumberFormat="1" applyFont="1" applyAlignment="1"/>
    <xf numFmtId="169" fontId="19" fillId="0" borderId="1" xfId="0" applyNumberFormat="1" applyFont="1" applyBorder="1" applyAlignment="1"/>
    <xf numFmtId="168" fontId="28" fillId="0" borderId="6" xfId="0" applyNumberFormat="1" applyFont="1" applyBorder="1" applyAlignment="1"/>
    <xf numFmtId="1" fontId="19" fillId="0" borderId="1" xfId="0" applyNumberFormat="1" applyFont="1" applyBorder="1" applyAlignment="1"/>
    <xf numFmtId="170" fontId="19" fillId="0" borderId="1" xfId="0" applyNumberFormat="1" applyFont="1" applyBorder="1" applyAlignment="1"/>
    <xf numFmtId="37" fontId="19" fillId="0" borderId="0" xfId="0" applyNumberFormat="1" applyFont="1" applyAlignment="1"/>
    <xf numFmtId="185" fontId="28" fillId="0" borderId="1" xfId="0" applyNumberFormat="1" applyFont="1" applyBorder="1" applyAlignment="1"/>
    <xf numFmtId="186" fontId="19" fillId="0" borderId="1" xfId="0" applyNumberFormat="1" applyFont="1" applyBorder="1" applyAlignment="1"/>
    <xf numFmtId="186" fontId="28" fillId="0" borderId="1" xfId="0" applyNumberFormat="1" applyFont="1" applyBorder="1" applyAlignment="1"/>
    <xf numFmtId="180" fontId="19" fillId="0" borderId="0" xfId="0" applyNumberFormat="1" applyFont="1"/>
    <xf numFmtId="177" fontId="19" fillId="0" borderId="1" xfId="3" applyNumberFormat="1" applyFont="1" applyBorder="1" applyAlignment="1"/>
    <xf numFmtId="9" fontId="28" fillId="0" borderId="1" xfId="0" applyNumberFormat="1" applyFont="1" applyBorder="1" applyAlignment="1"/>
    <xf numFmtId="0" fontId="33" fillId="0" borderId="7" xfId="0" applyFont="1" applyBorder="1"/>
    <xf numFmtId="0" fontId="33" fillId="0" borderId="16" xfId="0" applyFont="1" applyBorder="1"/>
    <xf numFmtId="0" fontId="34" fillId="0" borderId="16" xfId="0" applyFont="1" applyBorder="1"/>
    <xf numFmtId="0" fontId="19" fillId="0" borderId="16" xfId="0" applyNumberFormat="1" applyFont="1" applyBorder="1" applyAlignment="1"/>
    <xf numFmtId="0" fontId="33" fillId="0" borderId="0" xfId="0" applyFont="1"/>
    <xf numFmtId="0" fontId="34" fillId="0" borderId="0" xfId="0" applyFont="1"/>
    <xf numFmtId="173" fontId="33" fillId="0" borderId="8" xfId="0" applyNumberFormat="1" applyFont="1" applyBorder="1"/>
    <xf numFmtId="0" fontId="19" fillId="0" borderId="8" xfId="0" applyFont="1" applyBorder="1"/>
    <xf numFmtId="0" fontId="19" fillId="0" borderId="0" xfId="0" applyFont="1" applyBorder="1" applyAlignment="1">
      <alignment horizontal="centerContinuous"/>
    </xf>
    <xf numFmtId="5" fontId="19" fillId="0" borderId="9" xfId="0" applyNumberFormat="1" applyFont="1" applyFill="1" applyBorder="1"/>
    <xf numFmtId="174" fontId="35" fillId="0" borderId="10" xfId="0" applyNumberFormat="1" applyFont="1" applyFill="1" applyBorder="1"/>
    <xf numFmtId="174" fontId="36" fillId="0" borderId="10" xfId="0" applyNumberFormat="1" applyFont="1" applyFill="1" applyBorder="1"/>
    <xf numFmtId="0" fontId="19" fillId="0" borderId="0" xfId="0" applyFont="1" applyAlignment="1">
      <alignment horizontal="right"/>
    </xf>
    <xf numFmtId="175" fontId="35" fillId="0" borderId="11" xfId="0" applyNumberFormat="1" applyFont="1" applyFill="1" applyBorder="1"/>
    <xf numFmtId="178" fontId="19" fillId="0" borderId="0" xfId="0" applyNumberFormat="1" applyFont="1" applyFill="1"/>
    <xf numFmtId="175" fontId="36" fillId="0" borderId="11" xfId="0" applyNumberFormat="1" applyFont="1" applyFill="1" applyBorder="1"/>
    <xf numFmtId="179" fontId="19" fillId="0" borderId="9" xfId="0" applyNumberFormat="1" applyFont="1" applyFill="1" applyBorder="1"/>
    <xf numFmtId="176" fontId="19" fillId="0" borderId="0" xfId="0" applyNumberFormat="1" applyFont="1" applyFill="1"/>
    <xf numFmtId="0" fontId="33" fillId="0" borderId="12" xfId="0" applyFont="1" applyFill="1" applyBorder="1"/>
    <xf numFmtId="0" fontId="19" fillId="0" borderId="13" xfId="0" applyFont="1" applyBorder="1"/>
    <xf numFmtId="14" fontId="33" fillId="0" borderId="14" xfId="0" applyNumberFormat="1" applyFont="1" applyFill="1" applyBorder="1" applyAlignment="1">
      <alignment horizontal="right"/>
    </xf>
    <xf numFmtId="180" fontId="19" fillId="0" borderId="0" xfId="0" applyNumberFormat="1" applyFont="1" applyBorder="1"/>
    <xf numFmtId="167" fontId="19" fillId="0" borderId="0" xfId="0" applyNumberFormat="1" applyFont="1" applyAlignment="1"/>
    <xf numFmtId="0" fontId="19" fillId="0" borderId="15" xfId="0" applyNumberFormat="1" applyFont="1" applyFill="1" applyBorder="1" applyAlignment="1">
      <alignment horizontal="left"/>
    </xf>
    <xf numFmtId="0" fontId="19" fillId="0" borderId="0" xfId="0" applyNumberFormat="1" applyFont="1" applyFill="1" applyBorder="1" applyAlignment="1">
      <alignment horizontal="left"/>
    </xf>
    <xf numFmtId="0" fontId="19" fillId="0" borderId="0" xfId="0" applyNumberFormat="1" applyFont="1" applyFill="1" applyBorder="1" applyAlignment="1">
      <alignment horizontal="left" indent="1"/>
    </xf>
    <xf numFmtId="174" fontId="28" fillId="0" borderId="1" xfId="0" applyNumberFormat="1" applyFont="1" applyBorder="1" applyAlignment="1"/>
    <xf numFmtId="174" fontId="19" fillId="0" borderId="0" xfId="0" applyNumberFormat="1" applyFont="1" applyAlignment="1"/>
    <xf numFmtId="174" fontId="28" fillId="0" borderId="15" xfId="0" applyNumberFormat="1" applyFont="1" applyFill="1" applyBorder="1" applyAlignment="1"/>
    <xf numFmtId="0" fontId="19" fillId="2" borderId="0" xfId="0" applyNumberFormat="1" applyFont="1" applyFill="1" applyAlignment="1"/>
    <xf numFmtId="0" fontId="19" fillId="2" borderId="0" xfId="0" applyNumberFormat="1" applyFont="1" applyFill="1" applyBorder="1" applyAlignment="1"/>
    <xf numFmtId="0" fontId="31" fillId="0" borderId="0" xfId="0" applyFont="1"/>
    <xf numFmtId="0" fontId="24" fillId="0" borderId="0" xfId="0" applyFont="1"/>
    <xf numFmtId="182" fontId="19" fillId="0" borderId="0" xfId="0" applyNumberFormat="1" applyFont="1"/>
    <xf numFmtId="184" fontId="19" fillId="0" borderId="0" xfId="0" applyNumberFormat="1" applyFont="1"/>
    <xf numFmtId="10" fontId="19" fillId="0" borderId="0" xfId="0" applyNumberFormat="1" applyFont="1"/>
    <xf numFmtId="183" fontId="19" fillId="0" borderId="0" xfId="5" applyNumberFormat="1" applyFont="1"/>
    <xf numFmtId="10" fontId="19" fillId="0" borderId="0" xfId="3" applyNumberFormat="1" applyFont="1"/>
    <xf numFmtId="0" fontId="19" fillId="0" borderId="0" xfId="0" applyFont="1" applyAlignment="1">
      <alignment horizontal="center" vertical="top" wrapText="1"/>
    </xf>
    <xf numFmtId="183" fontId="31" fillId="0" borderId="0" xfId="0" applyNumberFormat="1" applyFont="1"/>
    <xf numFmtId="183" fontId="19" fillId="0" borderId="0" xfId="0" applyNumberFormat="1" applyFont="1"/>
    <xf numFmtId="0" fontId="19" fillId="5" borderId="0" xfId="0" applyFont="1" applyFill="1"/>
    <xf numFmtId="0" fontId="19" fillId="4" borderId="0" xfId="0" applyFont="1" applyFill="1"/>
    <xf numFmtId="9" fontId="19" fillId="0" borderId="0" xfId="0" applyNumberFormat="1" applyFont="1"/>
    <xf numFmtId="0" fontId="19" fillId="3" borderId="0" xfId="0" applyFont="1" applyFill="1"/>
    <xf numFmtId="9" fontId="19" fillId="0" borderId="0" xfId="3" applyFont="1"/>
    <xf numFmtId="9" fontId="31" fillId="0" borderId="0" xfId="3" applyFont="1"/>
    <xf numFmtId="9" fontId="19" fillId="4" borderId="0" xfId="0" applyNumberFormat="1" applyFont="1" applyFill="1" applyAlignment="1">
      <alignment horizontal="center"/>
    </xf>
    <xf numFmtId="0" fontId="19" fillId="0" borderId="0" xfId="0" quotePrefix="1" applyFont="1"/>
    <xf numFmtId="0" fontId="32" fillId="0" borderId="0" xfId="0" applyFont="1"/>
    <xf numFmtId="183" fontId="19" fillId="0" borderId="0" xfId="0" quotePrefix="1" applyNumberFormat="1" applyFont="1" applyAlignment="1">
      <alignment horizontal="center" vertical="top" wrapText="1"/>
    </xf>
    <xf numFmtId="43" fontId="19" fillId="0" borderId="0" xfId="6" applyFont="1"/>
    <xf numFmtId="9" fontId="19" fillId="0" borderId="0" xfId="3" applyFont="1" applyAlignment="1"/>
    <xf numFmtId="0" fontId="38" fillId="0" borderId="0" xfId="0" applyFont="1"/>
    <xf numFmtId="0" fontId="38" fillId="4" borderId="0" xfId="0" applyFont="1" applyFill="1"/>
    <xf numFmtId="0" fontId="31" fillId="0" borderId="0" xfId="0" applyFont="1" applyAlignment="1">
      <alignment horizontal="center" vertical="top" wrapText="1"/>
    </xf>
    <xf numFmtId="182" fontId="31" fillId="0" borderId="0" xfId="0" applyNumberFormat="1" applyFont="1"/>
    <xf numFmtId="0" fontId="31" fillId="0" borderId="0" xfId="0" quotePrefix="1" applyFont="1" applyAlignment="1">
      <alignment horizontal="center" vertical="top" wrapText="1"/>
    </xf>
    <xf numFmtId="184" fontId="31" fillId="0" borderId="0" xfId="0" applyNumberFormat="1" applyFont="1"/>
    <xf numFmtId="5" fontId="19" fillId="0" borderId="0" xfId="0" applyNumberFormat="1" applyFont="1"/>
    <xf numFmtId="5" fontId="38" fillId="0" borderId="0" xfId="0" applyNumberFormat="1" applyFont="1"/>
    <xf numFmtId="5" fontId="19" fillId="0" borderId="0" xfId="6" applyNumberFormat="1" applyFont="1"/>
    <xf numFmtId="5" fontId="32" fillId="0" borderId="0" xfId="6" applyNumberFormat="1" applyFont="1"/>
    <xf numFmtId="5" fontId="31" fillId="0" borderId="0" xfId="6" applyNumberFormat="1" applyFont="1"/>
    <xf numFmtId="0" fontId="32" fillId="0" borderId="23" xfId="0" applyFont="1" applyBorder="1"/>
    <xf numFmtId="5" fontId="19" fillId="0" borderId="23" xfId="6" applyNumberFormat="1" applyFont="1" applyBorder="1"/>
    <xf numFmtId="0" fontId="31" fillId="0" borderId="0" xfId="0" applyFont="1" applyAlignment="1">
      <alignment horizontal="center"/>
    </xf>
    <xf numFmtId="174" fontId="39" fillId="0" borderId="24" xfId="0" applyNumberFormat="1" applyFont="1" applyBorder="1"/>
  </cellXfs>
  <cellStyles count="7">
    <cellStyle name="Comma" xfId="6" builtinId="3"/>
    <cellStyle name="Comma 2" xfId="2" xr:uid="{17779839-C91C-1543-BE40-CBF190EEBAE6}"/>
    <cellStyle name="Currency" xfId="5" builtinId="4"/>
    <cellStyle name="Normal" xfId="0" builtinId="0"/>
    <cellStyle name="Normal 2" xfId="1" xr:uid="{2DDCCAE1-F350-2440-ABE7-D4B5402C1F93}"/>
    <cellStyle name="Normal 3" xfId="4" xr:uid="{94F66C01-7E12-AB4B-B53D-EDCA71A44BDF}"/>
    <cellStyle name="Per 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0C0C0"/>
      <rgbColor rgb="00006411"/>
      <rgbColor rgb="000000D4"/>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AA79"/>
      <color rgb="FFFF2600"/>
      <color rgb="FF00FA00"/>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GB" sz="1600"/>
              <a:t>Market Multiples</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Market!$C$4</c:f>
              <c:strCache>
                <c:ptCount val="1"/>
                <c:pt idx="0">
                  <c:v>EBITDA multiple</c:v>
                </c:pt>
              </c:strCache>
            </c:strRef>
          </c:tx>
          <c:spPr>
            <a:solidFill>
              <a:schemeClr val="accent1"/>
            </a:solidFill>
            <a:ln>
              <a:noFill/>
            </a:ln>
            <a:effectLst/>
          </c:spPr>
          <c:invertIfNegative val="0"/>
          <c:cat>
            <c:strRef>
              <c:f>Market!$B$5:$B$13</c:f>
              <c:strCache>
                <c:ptCount val="9"/>
                <c:pt idx="0">
                  <c:v>EG1</c:v>
                </c:pt>
                <c:pt idx="1">
                  <c:v>EG2</c:v>
                </c:pt>
                <c:pt idx="2">
                  <c:v>EG3</c:v>
                </c:pt>
                <c:pt idx="3">
                  <c:v>EG4</c:v>
                </c:pt>
                <c:pt idx="4">
                  <c:v>EG5</c:v>
                </c:pt>
                <c:pt idx="5">
                  <c:v>EG6</c:v>
                </c:pt>
                <c:pt idx="6">
                  <c:v>EG7</c:v>
                </c:pt>
                <c:pt idx="7">
                  <c:v>EG8</c:v>
                </c:pt>
                <c:pt idx="8">
                  <c:v>EG9</c:v>
                </c:pt>
              </c:strCache>
            </c:strRef>
          </c:cat>
          <c:val>
            <c:numRef>
              <c:f>Market!$C$5:$C$13</c:f>
              <c:numCache>
                <c:formatCode>0.0\x</c:formatCode>
                <c:ptCount val="9"/>
                <c:pt idx="0">
                  <c:v>2.5</c:v>
                </c:pt>
                <c:pt idx="1">
                  <c:v>3.2</c:v>
                </c:pt>
                <c:pt idx="2">
                  <c:v>3.4</c:v>
                </c:pt>
                <c:pt idx="3">
                  <c:v>3.5</c:v>
                </c:pt>
                <c:pt idx="4">
                  <c:v>4.2</c:v>
                </c:pt>
                <c:pt idx="5">
                  <c:v>4.5999999999999996</c:v>
                </c:pt>
                <c:pt idx="6">
                  <c:v>5.5</c:v>
                </c:pt>
                <c:pt idx="7">
                  <c:v>6.5</c:v>
                </c:pt>
                <c:pt idx="8">
                  <c:v>7</c:v>
                </c:pt>
              </c:numCache>
            </c:numRef>
          </c:val>
          <c:extLst>
            <c:ext xmlns:c16="http://schemas.microsoft.com/office/drawing/2014/chart" uri="{C3380CC4-5D6E-409C-BE32-E72D297353CC}">
              <c16:uniqueId val="{00000000-D4B8-BC4F-9675-B3E373C12F97}"/>
            </c:ext>
          </c:extLst>
        </c:ser>
        <c:dLbls>
          <c:showLegendKey val="0"/>
          <c:showVal val="0"/>
          <c:showCatName val="0"/>
          <c:showSerName val="0"/>
          <c:showPercent val="0"/>
          <c:showBubbleSize val="0"/>
        </c:dLbls>
        <c:gapWidth val="181"/>
        <c:axId val="893288975"/>
        <c:axId val="892841567"/>
      </c:barChart>
      <c:lineChart>
        <c:grouping val="standard"/>
        <c:varyColors val="0"/>
        <c:ser>
          <c:idx val="1"/>
          <c:order val="1"/>
          <c:tx>
            <c:strRef>
              <c:f>Market!$D$4</c:f>
              <c:strCache>
                <c:ptCount val="1"/>
                <c:pt idx="0">
                  <c:v>Revenue Multiple</c:v>
                </c:pt>
              </c:strCache>
            </c:strRef>
          </c:tx>
          <c:spPr>
            <a:ln w="28575" cap="rnd">
              <a:solidFill>
                <a:schemeClr val="accent2"/>
              </a:solidFill>
              <a:round/>
            </a:ln>
            <a:effectLst/>
          </c:spPr>
          <c:marker>
            <c:symbol val="none"/>
          </c:marker>
          <c:cat>
            <c:strRef>
              <c:f>Market!$B$5:$B$13</c:f>
              <c:strCache>
                <c:ptCount val="9"/>
                <c:pt idx="0">
                  <c:v>EG1</c:v>
                </c:pt>
                <c:pt idx="1">
                  <c:v>EG2</c:v>
                </c:pt>
                <c:pt idx="2">
                  <c:v>EG3</c:v>
                </c:pt>
                <c:pt idx="3">
                  <c:v>EG4</c:v>
                </c:pt>
                <c:pt idx="4">
                  <c:v>EG5</c:v>
                </c:pt>
                <c:pt idx="5">
                  <c:v>EG6</c:v>
                </c:pt>
                <c:pt idx="6">
                  <c:v>EG7</c:v>
                </c:pt>
                <c:pt idx="7">
                  <c:v>EG8</c:v>
                </c:pt>
                <c:pt idx="8">
                  <c:v>EG9</c:v>
                </c:pt>
              </c:strCache>
            </c:strRef>
          </c:cat>
          <c:val>
            <c:numRef>
              <c:f>Market!$D$5:$D$13</c:f>
              <c:numCache>
                <c:formatCode>0.00\x</c:formatCode>
                <c:ptCount val="9"/>
                <c:pt idx="0">
                  <c:v>0.25</c:v>
                </c:pt>
                <c:pt idx="1">
                  <c:v>0.28999999999999998</c:v>
                </c:pt>
                <c:pt idx="2">
                  <c:v>0.3</c:v>
                </c:pt>
                <c:pt idx="3">
                  <c:v>0.3</c:v>
                </c:pt>
                <c:pt idx="4">
                  <c:v>0.34</c:v>
                </c:pt>
                <c:pt idx="5">
                  <c:v>0.35</c:v>
                </c:pt>
                <c:pt idx="6">
                  <c:v>0.4</c:v>
                </c:pt>
                <c:pt idx="7">
                  <c:v>0.4</c:v>
                </c:pt>
                <c:pt idx="8">
                  <c:v>0.5</c:v>
                </c:pt>
              </c:numCache>
            </c:numRef>
          </c:val>
          <c:smooth val="0"/>
          <c:extLst>
            <c:ext xmlns:c16="http://schemas.microsoft.com/office/drawing/2014/chart" uri="{C3380CC4-5D6E-409C-BE32-E72D297353CC}">
              <c16:uniqueId val="{00000001-D4B8-BC4F-9675-B3E373C12F97}"/>
            </c:ext>
          </c:extLst>
        </c:ser>
        <c:dLbls>
          <c:showLegendKey val="0"/>
          <c:showVal val="0"/>
          <c:showCatName val="0"/>
          <c:showSerName val="0"/>
          <c:showPercent val="0"/>
          <c:showBubbleSize val="0"/>
        </c:dLbls>
        <c:marker val="1"/>
        <c:smooth val="0"/>
        <c:axId val="919169199"/>
        <c:axId val="919215215"/>
      </c:lineChart>
      <c:catAx>
        <c:axId val="8932889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92841567"/>
        <c:crosses val="autoZero"/>
        <c:auto val="1"/>
        <c:lblAlgn val="ctr"/>
        <c:lblOffset val="100"/>
        <c:noMultiLvlLbl val="0"/>
      </c:catAx>
      <c:valAx>
        <c:axId val="892841567"/>
        <c:scaling>
          <c:orientation val="minMax"/>
        </c:scaling>
        <c:delete val="0"/>
        <c:axPos val="l"/>
        <c:majorGridlines>
          <c:spPr>
            <a:ln w="9525" cap="flat" cmpd="sng" algn="ctr">
              <a:solidFill>
                <a:schemeClr val="tx1">
                  <a:lumMod val="15000"/>
                  <a:lumOff val="85000"/>
                </a:schemeClr>
              </a:solidFill>
              <a:round/>
            </a:ln>
            <a:effectLst/>
          </c:spPr>
        </c:majorGridlines>
        <c:numFmt formatCode="0.0\x"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93288975"/>
        <c:crosses val="autoZero"/>
        <c:crossBetween val="between"/>
      </c:valAx>
      <c:valAx>
        <c:axId val="919215215"/>
        <c:scaling>
          <c:orientation val="minMax"/>
        </c:scaling>
        <c:delete val="0"/>
        <c:axPos val="r"/>
        <c:numFmt formatCode="0.00\x" sourceLinked="1"/>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19169199"/>
        <c:crosses val="max"/>
        <c:crossBetween val="between"/>
      </c:valAx>
      <c:catAx>
        <c:axId val="919169199"/>
        <c:scaling>
          <c:orientation val="minMax"/>
        </c:scaling>
        <c:delete val="1"/>
        <c:axPos val="b"/>
        <c:numFmt formatCode="General" sourceLinked="1"/>
        <c:majorTickMark val="out"/>
        <c:minorTickMark val="none"/>
        <c:tickLblPos val="nextTo"/>
        <c:crossAx val="91921521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Profit Gap</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Market!$B$38</c:f>
              <c:strCache>
                <c:ptCount val="1"/>
                <c:pt idx="0">
                  <c:v>EBITDA</c:v>
                </c:pt>
              </c:strCache>
            </c:strRef>
          </c:tx>
          <c:spPr>
            <a:solidFill>
              <a:schemeClr val="accent1"/>
            </a:solidFill>
            <a:ln>
              <a:noFill/>
            </a:ln>
            <a:effectLst/>
          </c:spPr>
          <c:invertIfNegative val="0"/>
          <c:cat>
            <c:strRef>
              <c:f>Market!$C$35:$E$35</c:f>
              <c:strCache>
                <c:ptCount val="3"/>
                <c:pt idx="0">
                  <c:v>Grapester current</c:v>
                </c:pt>
                <c:pt idx="1">
                  <c:v>Industry average</c:v>
                </c:pt>
                <c:pt idx="2">
                  <c:v>Industry Best-in-Class</c:v>
                </c:pt>
              </c:strCache>
            </c:strRef>
          </c:cat>
          <c:val>
            <c:numRef>
              <c:f>Market!$C$38:$E$38</c:f>
              <c:numCache>
                <c:formatCode>_("$"* #,##0_);_("$"* \(#,##0\);_("$"* "-"??_);_(@_)</c:formatCode>
                <c:ptCount val="3"/>
                <c:pt idx="0">
                  <c:v>4675475.3788500009</c:v>
                </c:pt>
                <c:pt idx="1">
                  <c:v>5275344.8600000003</c:v>
                </c:pt>
                <c:pt idx="2">
                  <c:v>5791411.2050000001</c:v>
                </c:pt>
              </c:numCache>
            </c:numRef>
          </c:val>
          <c:extLst>
            <c:ext xmlns:c16="http://schemas.microsoft.com/office/drawing/2014/chart" uri="{C3380CC4-5D6E-409C-BE32-E72D297353CC}">
              <c16:uniqueId val="{00000000-0DC0-2448-804D-DE0BFCF6CB49}"/>
            </c:ext>
          </c:extLst>
        </c:ser>
        <c:dLbls>
          <c:showLegendKey val="0"/>
          <c:showVal val="0"/>
          <c:showCatName val="0"/>
          <c:showSerName val="0"/>
          <c:showPercent val="0"/>
          <c:showBubbleSize val="0"/>
        </c:dLbls>
        <c:gapWidth val="219"/>
        <c:overlap val="-27"/>
        <c:axId val="1081717295"/>
        <c:axId val="1081718943"/>
      </c:barChart>
      <c:catAx>
        <c:axId val="10817172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081718943"/>
        <c:crosses val="autoZero"/>
        <c:auto val="1"/>
        <c:lblAlgn val="ctr"/>
        <c:lblOffset val="100"/>
        <c:noMultiLvlLbl val="0"/>
      </c:catAx>
      <c:valAx>
        <c:axId val="1081718943"/>
        <c:scaling>
          <c:orientation val="minMax"/>
          <c:min val="300000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0817172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Value Gap</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Market!$C$71</c:f>
              <c:strCache>
                <c:ptCount val="1"/>
                <c:pt idx="0">
                  <c:v>Value</c:v>
                </c:pt>
              </c:strCache>
            </c:strRef>
          </c:tx>
          <c:spPr>
            <a:solidFill>
              <a:schemeClr val="accent1"/>
            </a:solidFill>
            <a:ln>
              <a:noFill/>
            </a:ln>
            <a:effectLst/>
          </c:spPr>
          <c:invertIfNegative val="0"/>
          <c:cat>
            <c:strRef>
              <c:f>Market!$B$72:$B$74</c:f>
              <c:strCache>
                <c:ptCount val="3"/>
                <c:pt idx="0">
                  <c:v>Grapester current</c:v>
                </c:pt>
                <c:pt idx="1">
                  <c:v>Industry Average</c:v>
                </c:pt>
                <c:pt idx="2">
                  <c:v>Best-In-Class</c:v>
                </c:pt>
              </c:strCache>
            </c:strRef>
          </c:cat>
          <c:val>
            <c:numRef>
              <c:f>Market!$C$72:$C$74</c:f>
              <c:numCache>
                <c:formatCode>_("$"* #,##0_);_("$"* \(#,##0\);_("$"* "-"??_);_(@_)</c:formatCode>
                <c:ptCount val="3"/>
                <c:pt idx="0">
                  <c:v>16289175.247073753</c:v>
                </c:pt>
                <c:pt idx="1">
                  <c:v>22156448.412000004</c:v>
                </c:pt>
                <c:pt idx="2">
                  <c:v>40539878.435000002</c:v>
                </c:pt>
              </c:numCache>
            </c:numRef>
          </c:val>
          <c:extLst>
            <c:ext xmlns:c16="http://schemas.microsoft.com/office/drawing/2014/chart" uri="{C3380CC4-5D6E-409C-BE32-E72D297353CC}">
              <c16:uniqueId val="{00000000-EDDD-B946-8B75-B16069F26879}"/>
            </c:ext>
          </c:extLst>
        </c:ser>
        <c:dLbls>
          <c:showLegendKey val="0"/>
          <c:showVal val="0"/>
          <c:showCatName val="0"/>
          <c:showSerName val="0"/>
          <c:showPercent val="0"/>
          <c:showBubbleSize val="0"/>
        </c:dLbls>
        <c:gapWidth val="219"/>
        <c:overlap val="-27"/>
        <c:axId val="1032346479"/>
        <c:axId val="1032348127"/>
      </c:barChart>
      <c:catAx>
        <c:axId val="1032346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032348127"/>
        <c:crosses val="autoZero"/>
        <c:auto val="1"/>
        <c:lblAlgn val="ctr"/>
        <c:lblOffset val="100"/>
        <c:noMultiLvlLbl val="0"/>
      </c:catAx>
      <c:valAx>
        <c:axId val="1032348127"/>
        <c:scaling>
          <c:orientation val="minMax"/>
          <c:min val="1000000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0323464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800100</xdr:colOff>
      <xdr:row>4</xdr:row>
      <xdr:rowOff>25400</xdr:rowOff>
    </xdr:from>
    <xdr:to>
      <xdr:col>17</xdr:col>
      <xdr:colOff>215900</xdr:colOff>
      <xdr:row>34</xdr:row>
      <xdr:rowOff>76200</xdr:rowOff>
    </xdr:to>
    <xdr:sp macro="" textlink="">
      <xdr:nvSpPr>
        <xdr:cNvPr id="2" name="TextBox 1">
          <a:extLst>
            <a:ext uri="{FF2B5EF4-FFF2-40B4-BE49-F238E27FC236}">
              <a16:creationId xmlns:a16="http://schemas.microsoft.com/office/drawing/2014/main" id="{C9C96F4B-BF55-9747-9A9C-4A0EED1F0766}"/>
            </a:ext>
          </a:extLst>
        </xdr:cNvPr>
        <xdr:cNvSpPr txBox="1"/>
      </xdr:nvSpPr>
      <xdr:spPr>
        <a:xfrm>
          <a:off x="800100" y="787400"/>
          <a:ext cx="13449300" cy="576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DISCLAIMER </a:t>
          </a:r>
        </a:p>
        <a:p>
          <a:endParaRPr lang="en-NZ" sz="1100"/>
        </a:p>
        <a:p>
          <a:r>
            <a:rPr lang="en-NZ" sz="1100"/>
            <a:t>Illustrative only.</a:t>
          </a:r>
        </a:p>
        <a:p>
          <a:endParaRPr lang="en-NZ" sz="1100"/>
        </a:p>
        <a:p>
          <a:r>
            <a:rPr lang="en-NZ" sz="1100"/>
            <a:t>This information is NOT from a real company and</a:t>
          </a:r>
          <a:r>
            <a:rPr lang="en-NZ" sz="1100" baseline="0"/>
            <a:t> is for illustrative and training purposes only. The family Levine and other characters are not a real </a:t>
          </a:r>
          <a:r>
            <a:rPr lang="en-NZ" sz="1100"/>
            <a:t>and</a:t>
          </a:r>
          <a:r>
            <a:rPr lang="en-NZ" sz="1100" baseline="0"/>
            <a:t> are for illustrative and training purposes only. </a:t>
          </a:r>
          <a:endParaRPr lang="en-NZ" sz="1100"/>
        </a:p>
        <a:p>
          <a:endParaRPr lang="en-NZ" sz="1100"/>
        </a:p>
        <a:p>
          <a:r>
            <a:rPr lang="en-NZ" sz="1100" b="0" i="0" u="none" strike="noStrike">
              <a:solidFill>
                <a:schemeClr val="dk1"/>
              </a:solidFill>
              <a:effectLst/>
              <a:latin typeface="+mn-lt"/>
              <a:ea typeface="+mn-ea"/>
              <a:cs typeface="+mn-cs"/>
            </a:rPr>
            <a:t>Disclaimer and Limitation of Liability</a:t>
          </a:r>
          <a:r>
            <a:rPr lang="en-NZ"/>
            <a:t> </a:t>
          </a:r>
        </a:p>
        <a:p>
          <a:endParaRPr lang="en-NZ" sz="1100" b="0" i="0" u="none" strike="noStrike">
            <a:solidFill>
              <a:schemeClr val="dk1"/>
            </a:solidFill>
            <a:effectLst/>
            <a:latin typeface="+mn-lt"/>
            <a:ea typeface="+mn-ea"/>
            <a:cs typeface="+mn-cs"/>
          </a:endParaRPr>
        </a:p>
        <a:p>
          <a:r>
            <a:rPr lang="en-NZ" sz="1100" b="0" i="0" u="none" strike="noStrike">
              <a:solidFill>
                <a:schemeClr val="dk1"/>
              </a:solidFill>
              <a:effectLst/>
              <a:latin typeface="+mn-lt"/>
              <a:ea typeface="+mn-ea"/>
              <a:cs typeface="+mn-cs"/>
            </a:rPr>
            <a:t>The information contained in this site is for general guidance on matters of interest only. The application and impact of laws can vary widely based on the specific facts involved. Given the changing nature of laws, rules and regulations, and the inherent hazards of electronic communication, there may be delays, omissions or inaccuracies in information contained in this site. Accordingly, the information on this site is provided with the understanding that the authors and publishers are not herein engaged in rendering legal, accounting, tax or other professional advice and services. As such, it should not be used as a substitute for consultation with professional accounting, tax, legal or other competent advisers. Before making any decision or taking any action, you should consult a professional.</a:t>
          </a:r>
          <a:r>
            <a:rPr lang="en-NZ"/>
            <a:t> </a:t>
          </a:r>
        </a:p>
        <a:p>
          <a:endParaRPr lang="en-NZ" sz="1100" b="0" i="0" u="none" strike="noStrike">
            <a:solidFill>
              <a:schemeClr val="dk1"/>
            </a:solidFill>
            <a:effectLst/>
            <a:latin typeface="+mn-lt"/>
            <a:ea typeface="+mn-ea"/>
            <a:cs typeface="+mn-cs"/>
          </a:endParaRPr>
        </a:p>
        <a:p>
          <a:r>
            <a:rPr lang="en-NZ" sz="1100" b="0" i="0" u="none" strike="noStrike">
              <a:solidFill>
                <a:schemeClr val="dk1"/>
              </a:solidFill>
              <a:effectLst/>
              <a:latin typeface="+mn-lt"/>
              <a:ea typeface="+mn-ea"/>
              <a:cs typeface="+mn-cs"/>
            </a:rPr>
            <a:t>While we have made every attempt to ensure that the information contained in this site has been obtained from reliable sources, Bruce McGechan is not responsible for any errors or omissions, or for the results obtained from the use of this information. All information in this site is provided “as is”, with no guarantee of completeness, accuracy, timeliness or of the results obtained from the use of this information, and without warranty of any kind, express or implied, including, but not limited to warranties of performance, merchantability and fitness for a particular purpose. In no event will Bruce McGechan, its related partnerships or corporations, or the partners, agents or employees thereof be liable to you or anyone else for any decision made or action taken in reliance on the information in this Site or for any consequential, special or similar damages, even if advised of the possibility of such damages.</a:t>
          </a:r>
          <a:r>
            <a:rPr lang="en-NZ"/>
            <a:t> </a:t>
          </a:r>
          <a:r>
            <a:rPr lang="en-NZ" sz="1100" b="0" i="0" u="none" strike="noStrike">
              <a:solidFill>
                <a:schemeClr val="dk1"/>
              </a:solidFill>
              <a:effectLst/>
              <a:latin typeface="+mn-lt"/>
              <a:ea typeface="+mn-ea"/>
              <a:cs typeface="+mn-cs"/>
            </a:rPr>
            <a:t>Certain links may connect to websites maintained by third parties over whom Bruce McGechan has no control. Bruce McGechan makes no representations as to the accuracy or any other aspect of information contained in other websites.</a:t>
          </a:r>
          <a:r>
            <a:rPr lang="en-NZ"/>
            <a:t> </a:t>
          </a:r>
        </a:p>
        <a:p>
          <a:endParaRPr lang="en-NZ" sz="1100"/>
        </a:p>
        <a:p>
          <a:r>
            <a:rPr lang="en-NZ" sz="1100" b="0" i="0" u="none" strike="noStrike">
              <a:solidFill>
                <a:schemeClr val="dk1"/>
              </a:solidFill>
              <a:effectLst/>
              <a:latin typeface="+mn-lt"/>
              <a:ea typeface="+mn-ea"/>
              <a:cs typeface="+mn-cs"/>
            </a:rPr>
            <a:t>Investment Risk Warning and Disclosures</a:t>
          </a:r>
          <a:r>
            <a:rPr lang="en-NZ"/>
            <a:t> </a:t>
          </a:r>
        </a:p>
        <a:p>
          <a:endParaRPr lang="en-NZ" sz="1100" b="0" i="0" u="none" strike="noStrike">
            <a:solidFill>
              <a:schemeClr val="dk1"/>
            </a:solidFill>
            <a:effectLst/>
            <a:latin typeface="+mn-lt"/>
            <a:ea typeface="+mn-ea"/>
            <a:cs typeface="+mn-cs"/>
          </a:endParaRPr>
        </a:p>
        <a:p>
          <a:r>
            <a:rPr lang="en-NZ" sz="1100" b="0" i="0" u="none" strike="noStrike">
              <a:solidFill>
                <a:schemeClr val="dk1"/>
              </a:solidFill>
              <a:effectLst/>
              <a:latin typeface="+mn-lt"/>
              <a:ea typeface="+mn-ea"/>
              <a:cs typeface="+mn-cs"/>
            </a:rPr>
            <a:t>The investment services, products and any opinions, views or recommendations made or referred to on this site are provided for general information purposes only. To the extent that any such information, opinions, views and recommendations constitute advice, they do not take into account any person’s particular financial situation or goals and, accordingly, do not constitute personalised financial advice under the Financial Advisers Act 2008, nor do they constitute advice of a legal, tax, accounting or other nature to any person. We, therefore, recommend that investors seek advice from their usual adviser before taking any action. Before investing, you should make yourself aware of the investment risks.</a:t>
          </a:r>
          <a:r>
            <a:rPr lang="en-NZ"/>
            <a:t> </a:t>
          </a:r>
          <a:r>
            <a:rPr lang="en-NZ" sz="1100" b="0" i="0" u="none" strike="noStrike">
              <a:solidFill>
                <a:schemeClr val="dk1"/>
              </a:solidFill>
              <a:effectLst/>
              <a:latin typeface="+mn-lt"/>
              <a:ea typeface="+mn-ea"/>
              <a:cs typeface="+mn-cs"/>
            </a:rPr>
            <a:t>All investment involves risk. The price, value and income derived from investments may fluctuate in that values can go down as well as up and investors may get back less than originally invested. Past performance is not indicative of future results. Where an investment is denominated in a foreign currency, changes in rates of exchange may have an adverse effect on the value, price or income of the investment. Reference to taxation or the impact of taxation does not constitute tax advice. The rules on and bases of taxation can change. The value of any tax reliefs will depend on individual circumstances. You should consult your tax adviser in order to understand the impact of investment decisions on your tax position.</a:t>
          </a:r>
          <a:r>
            <a:rPr lang="en-NZ"/>
            <a:t> </a:t>
          </a:r>
          <a:r>
            <a:rPr lang="en-NZ" sz="1100" b="0" i="0" u="none" strike="noStrike">
              <a:solidFill>
                <a:schemeClr val="dk1"/>
              </a:solidFill>
              <a:effectLst/>
              <a:latin typeface="+mn-lt"/>
              <a:ea typeface="+mn-ea"/>
              <a:cs typeface="+mn-cs"/>
            </a:rPr>
            <a:t>Bruce McGechan, its employees and persons associated with Bruce McGechan may (i) hold securities mentioned on this site (or related securities) as principal for their own account, (ii) have provided investment advice or investment services in relation to such securities within the last twelve months, and (iii) have other financial interests in the matters mentioned.</a:t>
          </a:r>
          <a:r>
            <a:rPr lang="en-NZ"/>
            <a:t> </a:t>
          </a:r>
        </a:p>
        <a:p>
          <a:endParaRPr lang="en-NZ" sz="1100"/>
        </a:p>
        <a:p>
          <a:pPr marL="0" marR="0" lvl="0" indent="0" defTabSz="914400" eaLnBrk="1" fontAlgn="auto" latinLnBrk="0" hangingPunct="1">
            <a:lnSpc>
              <a:spcPct val="100000"/>
            </a:lnSpc>
            <a:spcBef>
              <a:spcPts val="0"/>
            </a:spcBef>
            <a:spcAft>
              <a:spcPts val="0"/>
            </a:spcAft>
            <a:buClrTx/>
            <a:buSzTx/>
            <a:buFontTx/>
            <a:buNone/>
            <a:tabLst/>
            <a:defRPr/>
          </a:pPr>
          <a:r>
            <a:rPr lang="en-US" sz="1100"/>
            <a:t>Copyright (c) Bruce McGechan 2021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12700</xdr:colOff>
      <xdr:row>1</xdr:row>
      <xdr:rowOff>12700</xdr:rowOff>
    </xdr:from>
    <xdr:to>
      <xdr:col>20</xdr:col>
      <xdr:colOff>876300</xdr:colOff>
      <xdr:row>29</xdr:row>
      <xdr:rowOff>12700</xdr:rowOff>
    </xdr:to>
    <xdr:sp macro="" textlink="">
      <xdr:nvSpPr>
        <xdr:cNvPr id="2" name="TextBox 1">
          <a:extLst>
            <a:ext uri="{FF2B5EF4-FFF2-40B4-BE49-F238E27FC236}">
              <a16:creationId xmlns:a16="http://schemas.microsoft.com/office/drawing/2014/main" id="{0AA76D6B-D81E-4141-846B-238A7D94A2EC}"/>
            </a:ext>
          </a:extLst>
        </xdr:cNvPr>
        <xdr:cNvSpPr txBox="1"/>
      </xdr:nvSpPr>
      <xdr:spPr>
        <a:xfrm>
          <a:off x="14820900" y="228600"/>
          <a:ext cx="5435600" cy="5829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Notes and Instructions</a:t>
          </a:r>
        </a:p>
        <a:p>
          <a:endParaRPr lang="en-GB" sz="1400"/>
        </a:p>
        <a:p>
          <a:r>
            <a:rPr lang="en-GB" sz="1400">
              <a:solidFill>
                <a:schemeClr val="dk1"/>
              </a:solidFill>
              <a:effectLst/>
              <a:latin typeface="+mn-lt"/>
              <a:ea typeface="+mn-ea"/>
              <a:cs typeface="+mn-cs"/>
            </a:rPr>
            <a:t>-</a:t>
          </a:r>
          <a:r>
            <a:rPr lang="en-GB" sz="1400" baseline="0">
              <a:solidFill>
                <a:schemeClr val="dk1"/>
              </a:solidFill>
              <a:effectLst/>
              <a:latin typeface="+mn-lt"/>
              <a:ea typeface="+mn-ea"/>
              <a:cs typeface="+mn-cs"/>
            </a:rPr>
            <a:t> </a:t>
          </a:r>
          <a:r>
            <a:rPr lang="en-NZ" sz="1400">
              <a:solidFill>
                <a:schemeClr val="dk1"/>
              </a:solidFill>
              <a:effectLst/>
              <a:latin typeface="+mn-lt"/>
              <a:ea typeface="+mn-ea"/>
              <a:cs typeface="+mn-cs"/>
            </a:rPr>
            <a:t>The numbers in blue are actual numbers, some from annual reports and some are variables for forecasting purposes. Feel free to change the blue numbers especially the variables. Black numbers are formulas. </a:t>
          </a:r>
        </a:p>
        <a:p>
          <a:endParaRPr lang="en-NZ" sz="1400">
            <a:solidFill>
              <a:schemeClr val="dk1"/>
            </a:solidFill>
            <a:effectLst/>
            <a:latin typeface="+mn-lt"/>
            <a:ea typeface="+mn-ea"/>
            <a:cs typeface="+mn-cs"/>
          </a:endParaRPr>
        </a:p>
        <a:p>
          <a:r>
            <a:rPr lang="en-NZ" sz="1400">
              <a:solidFill>
                <a:schemeClr val="dk1"/>
              </a:solidFill>
              <a:effectLst/>
              <a:latin typeface="+mn-lt"/>
              <a:ea typeface="+mn-ea"/>
              <a:cs typeface="+mn-cs"/>
            </a:rPr>
            <a:t>- Scenarios are selected beside the cell “Select an operation scenario” on M5. Base is the default, there are optimistic and pessimistic scenarios. They can be changed at the bottom of the spreadsheet.</a:t>
          </a:r>
        </a:p>
        <a:p>
          <a:endParaRPr lang="en-NZ" sz="1400">
            <a:solidFill>
              <a:schemeClr val="dk1"/>
            </a:solidFill>
            <a:effectLst/>
            <a:latin typeface="+mn-lt"/>
            <a:ea typeface="+mn-ea"/>
            <a:cs typeface="+mn-cs"/>
          </a:endParaRPr>
        </a:p>
        <a:p>
          <a:r>
            <a:rPr lang="en-NZ" sz="1400">
              <a:solidFill>
                <a:schemeClr val="dk1"/>
              </a:solidFill>
              <a:effectLst/>
              <a:latin typeface="+mn-lt"/>
              <a:ea typeface="+mn-ea"/>
              <a:cs typeface="+mn-cs"/>
            </a:rPr>
            <a:t>- It is assumed we are in the first month of the current financial year 2022.</a:t>
          </a:r>
        </a:p>
        <a:p>
          <a:endParaRPr lang="en-NZ" sz="1400">
            <a:solidFill>
              <a:schemeClr val="dk1"/>
            </a:solidFill>
            <a:effectLst/>
            <a:latin typeface="+mn-lt"/>
            <a:ea typeface="+mn-ea"/>
            <a:cs typeface="+mn-cs"/>
          </a:endParaRPr>
        </a:p>
        <a:p>
          <a:r>
            <a:rPr lang="en-NZ" sz="1400">
              <a:solidFill>
                <a:schemeClr val="dk1"/>
              </a:solidFill>
              <a:effectLst/>
              <a:latin typeface="+mn-lt"/>
              <a:ea typeface="+mn-ea"/>
              <a:cs typeface="+mn-cs"/>
            </a:rPr>
            <a:t>- The “A” in 2021A means “actual”. The “P” in 2022 means “projected”.</a:t>
          </a:r>
        </a:p>
        <a:p>
          <a:endParaRPr lang="en-NZ" sz="1400">
            <a:solidFill>
              <a:schemeClr val="dk1"/>
            </a:solidFill>
            <a:effectLst/>
            <a:latin typeface="+mn-lt"/>
            <a:ea typeface="+mn-ea"/>
            <a:cs typeface="+mn-cs"/>
          </a:endParaRPr>
        </a:p>
        <a:p>
          <a:r>
            <a:rPr lang="en-NZ" sz="1400">
              <a:solidFill>
                <a:schemeClr val="dk1"/>
              </a:solidFill>
              <a:effectLst/>
              <a:latin typeface="+mn-lt"/>
              <a:ea typeface="+mn-ea"/>
              <a:cs typeface="+mn-cs"/>
            </a:rPr>
            <a:t>- Their is circularity in the spreadsheet which requires changes to Excel settings, see the comment beside the “Circuit breaker” cell in cell C7 for how to change your settings.</a:t>
          </a:r>
        </a:p>
        <a:p>
          <a:endParaRPr lang="en-NZ" sz="1400">
            <a:solidFill>
              <a:schemeClr val="dk1"/>
            </a:solidFill>
            <a:effectLst/>
            <a:latin typeface="+mn-lt"/>
            <a:ea typeface="+mn-ea"/>
            <a:cs typeface="+mn-cs"/>
          </a:endParaRPr>
        </a:p>
        <a:p>
          <a:r>
            <a:rPr lang="en-NZ" sz="1400">
              <a:solidFill>
                <a:schemeClr val="dk1"/>
              </a:solidFill>
              <a:effectLst/>
              <a:latin typeface="+mn-lt"/>
              <a:ea typeface="+mn-ea"/>
              <a:cs typeface="+mn-cs"/>
            </a:rPr>
            <a:t>- If you have an error see the comment above re circularity and settings.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425450</xdr:colOff>
      <xdr:row>0</xdr:row>
      <xdr:rowOff>139700</xdr:rowOff>
    </xdr:from>
    <xdr:to>
      <xdr:col>16</xdr:col>
      <xdr:colOff>114300</xdr:colOff>
      <xdr:row>29</xdr:row>
      <xdr:rowOff>12700</xdr:rowOff>
    </xdr:to>
    <xdr:graphicFrame macro="">
      <xdr:nvGraphicFramePr>
        <xdr:cNvPr id="2" name="Chart 1">
          <a:extLst>
            <a:ext uri="{FF2B5EF4-FFF2-40B4-BE49-F238E27FC236}">
              <a16:creationId xmlns:a16="http://schemas.microsoft.com/office/drawing/2014/main" id="{343CEE7C-21F6-5B44-8AAA-32185EFDA2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254000</xdr:colOff>
      <xdr:row>0</xdr:row>
      <xdr:rowOff>184150</xdr:rowOff>
    </xdr:from>
    <xdr:to>
      <xdr:col>24</xdr:col>
      <xdr:colOff>57150</xdr:colOff>
      <xdr:row>29</xdr:row>
      <xdr:rowOff>6350</xdr:rowOff>
    </xdr:to>
    <xdr:graphicFrame macro="">
      <xdr:nvGraphicFramePr>
        <xdr:cNvPr id="3" name="Chart 2">
          <a:extLst>
            <a:ext uri="{FF2B5EF4-FFF2-40B4-BE49-F238E27FC236}">
              <a16:creationId xmlns:a16="http://schemas.microsoft.com/office/drawing/2014/main" id="{868FE612-5C36-A14F-A95F-39A717DC7C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76200</xdr:colOff>
      <xdr:row>0</xdr:row>
      <xdr:rowOff>152400</xdr:rowOff>
    </xdr:from>
    <xdr:to>
      <xdr:col>31</xdr:col>
      <xdr:colOff>660400</xdr:colOff>
      <xdr:row>28</xdr:row>
      <xdr:rowOff>228600</xdr:rowOff>
    </xdr:to>
    <xdr:graphicFrame macro="">
      <xdr:nvGraphicFramePr>
        <xdr:cNvPr id="4" name="Chart 3">
          <a:extLst>
            <a:ext uri="{FF2B5EF4-FFF2-40B4-BE49-F238E27FC236}">
              <a16:creationId xmlns:a16="http://schemas.microsoft.com/office/drawing/2014/main" id="{7E587E9E-59D3-3D4C-9D39-B8E4FFD77A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6411"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97A61-9820-F744-BAC9-B35ACB9F0711}">
  <dimension ref="B1:Q2"/>
  <sheetViews>
    <sheetView tabSelected="1" workbookViewId="0">
      <selection activeCell="B36" sqref="B36"/>
    </sheetView>
  </sheetViews>
  <sheetFormatPr baseColWidth="10" defaultRowHeight="15"/>
  <cols>
    <col min="1" max="1" width="4" customWidth="1"/>
  </cols>
  <sheetData>
    <row r="1" spans="2:17" ht="16" thickBot="1"/>
    <row r="2" spans="2:17" ht="27" thickBot="1">
      <c r="B2" s="4" t="s">
        <v>245</v>
      </c>
      <c r="C2" s="4"/>
      <c r="D2" s="4"/>
      <c r="E2" s="4"/>
      <c r="F2" s="4"/>
      <c r="G2" s="4"/>
      <c r="H2" s="4"/>
      <c r="I2" s="4"/>
      <c r="J2" s="4"/>
      <c r="K2" s="4"/>
      <c r="L2" s="4"/>
      <c r="M2" s="4"/>
      <c r="N2" s="4"/>
      <c r="O2" s="4"/>
      <c r="P2" s="4"/>
      <c r="Q2" s="4"/>
    </row>
  </sheetData>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69"/>
  <sheetViews>
    <sheetView zoomScaleNormal="100" workbookViewId="0">
      <selection activeCell="N7" sqref="N7"/>
    </sheetView>
  </sheetViews>
  <sheetFormatPr baseColWidth="10" defaultColWidth="12" defaultRowHeight="20" customHeight="1"/>
  <cols>
    <col min="1" max="1" width="2.1640625" style="1" customWidth="1"/>
    <col min="2" max="2" width="35.33203125" style="1" customWidth="1"/>
    <col min="3" max="3" width="8" style="1" customWidth="1"/>
    <col min="4" max="11" width="13.33203125" style="1" customWidth="1"/>
    <col min="12" max="13" width="14.6640625" style="1" customWidth="1"/>
    <col min="14" max="14" width="13.6640625" style="1" customWidth="1"/>
    <col min="15" max="15" width="16.1640625" style="1" customWidth="1"/>
    <col min="16" max="16384" width="12" style="1"/>
  </cols>
  <sheetData>
    <row r="1" spans="1:16" ht="17" customHeight="1">
      <c r="A1" s="2"/>
      <c r="B1" s="3"/>
      <c r="C1" s="3"/>
      <c r="D1" s="3"/>
      <c r="E1" s="3"/>
      <c r="F1" s="3"/>
      <c r="G1" s="3"/>
      <c r="H1" s="3"/>
      <c r="I1" s="3"/>
      <c r="J1" s="3"/>
      <c r="K1" s="3"/>
      <c r="L1" s="3"/>
      <c r="M1" s="3"/>
      <c r="N1" s="2"/>
      <c r="O1" s="2"/>
    </row>
    <row r="2" spans="1:16" ht="27" customHeight="1">
      <c r="A2" s="2"/>
      <c r="B2" s="4" t="str">
        <f>"Financial Statement Model for "&amp;C5</f>
        <v>Financial Statement Model for Grapester Harvesting Machinery Ltd</v>
      </c>
      <c r="C2" s="5"/>
      <c r="D2" s="5"/>
      <c r="E2" s="5"/>
      <c r="F2" s="5"/>
      <c r="G2" s="5"/>
      <c r="H2" s="5"/>
      <c r="I2" s="5"/>
      <c r="J2" s="5"/>
      <c r="K2" s="5"/>
      <c r="L2" s="5"/>
      <c r="M2" s="5"/>
      <c r="N2" s="2"/>
      <c r="O2" s="2"/>
    </row>
    <row r="3" spans="1:16" ht="16" customHeight="1">
      <c r="A3" s="2"/>
      <c r="B3" s="6"/>
      <c r="C3" s="7"/>
      <c r="D3" s="7"/>
      <c r="E3" s="7"/>
      <c r="F3" s="7"/>
      <c r="G3" s="8"/>
      <c r="H3" s="8"/>
      <c r="I3" s="8"/>
      <c r="J3" s="8"/>
      <c r="K3" s="8"/>
      <c r="L3" s="8"/>
      <c r="M3" s="8"/>
      <c r="N3" s="2"/>
      <c r="O3" s="2"/>
    </row>
    <row r="4" spans="1:16" ht="16" customHeight="1" thickBot="1">
      <c r="A4" s="2"/>
      <c r="B4" s="9"/>
      <c r="C4" s="10"/>
      <c r="D4" s="10"/>
      <c r="E4" s="10"/>
      <c r="F4" s="10"/>
      <c r="G4" s="2"/>
      <c r="H4" s="2"/>
      <c r="I4" s="2"/>
      <c r="J4" s="2"/>
      <c r="K4" s="2"/>
      <c r="L4" s="2"/>
      <c r="M4" s="2"/>
      <c r="N4" s="2"/>
      <c r="O4" s="2"/>
    </row>
    <row r="5" spans="1:16" ht="16" customHeight="1" thickBot="1">
      <c r="A5" s="2"/>
      <c r="B5" s="11" t="s">
        <v>0</v>
      </c>
      <c r="C5" s="25" t="s">
        <v>131</v>
      </c>
      <c r="D5" s="12"/>
      <c r="E5" s="12"/>
      <c r="F5" s="12"/>
      <c r="G5" s="2"/>
      <c r="H5" s="2"/>
      <c r="J5" s="19" t="s">
        <v>116</v>
      </c>
      <c r="K5" s="17"/>
      <c r="L5" s="17"/>
      <c r="M5" s="18" t="s">
        <v>118</v>
      </c>
      <c r="N5" s="2"/>
      <c r="O5" s="2"/>
    </row>
    <row r="6" spans="1:16" ht="16" customHeight="1">
      <c r="A6" s="2"/>
      <c r="B6" s="11"/>
      <c r="C6" s="13"/>
      <c r="D6" s="13"/>
      <c r="E6" s="13"/>
      <c r="F6" s="13"/>
      <c r="G6" s="2"/>
      <c r="H6" s="2"/>
      <c r="I6" s="2"/>
      <c r="J6" s="2"/>
      <c r="K6" s="2"/>
      <c r="L6" s="2"/>
      <c r="M6" s="2"/>
      <c r="N6" s="2"/>
      <c r="O6" s="2"/>
    </row>
    <row r="7" spans="1:16" ht="16" customHeight="1">
      <c r="A7" s="2"/>
      <c r="B7" s="11" t="s">
        <v>1</v>
      </c>
      <c r="C7" s="14" t="s">
        <v>227</v>
      </c>
      <c r="D7" s="14"/>
      <c r="E7" s="14"/>
      <c r="F7" s="14"/>
      <c r="G7" s="2"/>
      <c r="H7" s="15"/>
      <c r="I7" s="23"/>
      <c r="J7" s="23"/>
      <c r="K7" s="23"/>
      <c r="L7" s="20" t="s">
        <v>129</v>
      </c>
      <c r="M7" s="13">
        <v>44264</v>
      </c>
      <c r="N7" s="2"/>
      <c r="O7" s="2"/>
    </row>
    <row r="8" spans="1:16" ht="16" customHeight="1">
      <c r="A8" s="2"/>
      <c r="B8" s="2"/>
      <c r="C8" s="2"/>
      <c r="D8" s="2"/>
      <c r="E8" s="2"/>
      <c r="F8" s="2"/>
      <c r="G8" s="2"/>
      <c r="H8" s="21"/>
      <c r="J8" s="24" t="s">
        <v>230</v>
      </c>
      <c r="K8" s="26" t="s">
        <v>132</v>
      </c>
      <c r="L8" s="22"/>
      <c r="M8" s="2"/>
      <c r="N8" s="2"/>
      <c r="O8" s="2"/>
    </row>
    <row r="9" spans="1:16" s="44" customFormat="1" ht="16" customHeight="1">
      <c r="A9" s="37"/>
      <c r="B9" s="38" t="s">
        <v>107</v>
      </c>
      <c r="C9" s="39"/>
      <c r="D9" s="39"/>
      <c r="E9" s="39"/>
      <c r="F9" s="39"/>
      <c r="G9" s="40"/>
      <c r="H9" s="40"/>
      <c r="I9" s="41"/>
      <c r="J9" s="42"/>
      <c r="K9" s="43"/>
      <c r="L9" s="40"/>
      <c r="M9" s="40"/>
      <c r="N9" s="37"/>
      <c r="O9" s="37"/>
    </row>
    <row r="10" spans="1:16" s="44" customFormat="1" ht="16" customHeight="1">
      <c r="A10" s="37"/>
      <c r="B10" s="45" t="s">
        <v>2</v>
      </c>
      <c r="C10" s="46"/>
      <c r="D10" s="47">
        <f t="shared" ref="D10:I10" ca="1" si="0">E10-1</f>
        <v>2016</v>
      </c>
      <c r="E10" s="47">
        <f t="shared" ca="1" si="0"/>
        <v>2017</v>
      </c>
      <c r="F10" s="47">
        <f t="shared" ca="1" si="0"/>
        <v>2018</v>
      </c>
      <c r="G10" s="47">
        <f t="shared" ca="1" si="0"/>
        <v>2019</v>
      </c>
      <c r="H10" s="47">
        <f t="shared" ca="1" si="0"/>
        <v>2020</v>
      </c>
      <c r="I10" s="47">
        <f t="shared" ca="1" si="0"/>
        <v>2021</v>
      </c>
      <c r="J10" s="48">
        <f t="shared" ref="J10" ca="1" si="1">I10+1</f>
        <v>2022</v>
      </c>
      <c r="K10" s="48">
        <f ca="1">J10+1</f>
        <v>2023</v>
      </c>
      <c r="L10" s="48">
        <f ca="1">K10+1</f>
        <v>2024</v>
      </c>
      <c r="M10" s="48">
        <f ca="1">L10+1</f>
        <v>2025</v>
      </c>
      <c r="N10" s="48">
        <f ca="1">M10+1</f>
        <v>2026</v>
      </c>
      <c r="O10" s="49"/>
      <c r="P10" s="50"/>
    </row>
    <row r="11" spans="1:16" s="44" customFormat="1" ht="16" customHeight="1">
      <c r="A11" s="37"/>
      <c r="B11" s="51" t="s">
        <v>3</v>
      </c>
      <c r="C11" s="52"/>
      <c r="D11" s="53">
        <v>42460</v>
      </c>
      <c r="E11" s="53">
        <v>42825</v>
      </c>
      <c r="F11" s="53">
        <v>43190</v>
      </c>
      <c r="G11" s="53">
        <v>43555</v>
      </c>
      <c r="H11" s="53">
        <v>43921</v>
      </c>
      <c r="I11" s="53">
        <v>44286</v>
      </c>
      <c r="J11" s="54">
        <v>44651</v>
      </c>
      <c r="K11" s="54">
        <v>45016</v>
      </c>
      <c r="L11" s="54">
        <v>45382</v>
      </c>
      <c r="M11" s="54">
        <v>45747</v>
      </c>
      <c r="N11" s="54">
        <v>46112</v>
      </c>
      <c r="O11" s="37"/>
    </row>
    <row r="12" spans="1:16" s="44" customFormat="1" ht="16" customHeight="1">
      <c r="A12" s="37"/>
      <c r="B12" s="55"/>
      <c r="C12" s="56"/>
      <c r="D12" s="57"/>
      <c r="E12" s="57"/>
      <c r="F12" s="57"/>
      <c r="G12" s="57"/>
      <c r="H12" s="57"/>
      <c r="I12" s="57"/>
      <c r="J12" s="58"/>
      <c r="K12" s="58"/>
      <c r="L12" s="58"/>
      <c r="M12" s="58"/>
      <c r="N12" s="37"/>
      <c r="O12" s="37"/>
    </row>
    <row r="13" spans="1:16" s="44" customFormat="1" ht="16" customHeight="1">
      <c r="A13" s="37"/>
      <c r="B13" s="37" t="s">
        <v>4</v>
      </c>
      <c r="C13" s="59"/>
      <c r="D13" s="60">
        <v>19603660</v>
      </c>
      <c r="E13" s="60">
        <v>28274509</v>
      </c>
      <c r="F13" s="60">
        <v>28716298</v>
      </c>
      <c r="G13" s="60">
        <v>42664215</v>
      </c>
      <c r="H13" s="60">
        <v>51197058</v>
      </c>
      <c r="I13" s="60">
        <v>57340705</v>
      </c>
      <c r="J13" s="61">
        <f ca="1">I13*(1+J30)</f>
        <v>68404043.248519421</v>
      </c>
      <c r="K13" s="61">
        <f ca="1">J13*(1+K30)</f>
        <v>82302202.012393177</v>
      </c>
      <c r="L13" s="61">
        <f ca="1">K13*(1+L30)</f>
        <v>102398515.81950164</v>
      </c>
      <c r="M13" s="61">
        <f ca="1">L13*(1+M30)</f>
        <v>125007934.69263045</v>
      </c>
      <c r="N13" s="61">
        <f ca="1">M13*(1+N30)</f>
        <v>150585578.23945817</v>
      </c>
      <c r="O13" s="62"/>
    </row>
    <row r="14" spans="1:16" s="44" customFormat="1" ht="16" customHeight="1">
      <c r="A14" s="37"/>
      <c r="B14" s="37" t="s">
        <v>127</v>
      </c>
      <c r="C14" s="59"/>
      <c r="D14" s="60">
        <v>-13918598</v>
      </c>
      <c r="E14" s="60">
        <v>-20074901</v>
      </c>
      <c r="F14" s="60">
        <v>-20388572</v>
      </c>
      <c r="G14" s="60">
        <v>-30291592</v>
      </c>
      <c r="H14" s="60">
        <v>-36349911</v>
      </c>
      <c r="I14" s="60">
        <v>-40711900</v>
      </c>
      <c r="J14" s="63">
        <f ca="1">J15-J13</f>
        <v>-48566870.706448793</v>
      </c>
      <c r="K14" s="63">
        <f ca="1">K15-K13</f>
        <v>-58434563.428799152</v>
      </c>
      <c r="L14" s="63">
        <f ca="1">L15-L13</f>
        <v>-72702946.231846169</v>
      </c>
      <c r="M14" s="63">
        <f ca="1">M15-M13</f>
        <v>-88755633.631767631</v>
      </c>
      <c r="N14" s="63">
        <f ca="1">N15-N13</f>
        <v>-106915760.5500153</v>
      </c>
      <c r="O14" s="62"/>
    </row>
    <row r="15" spans="1:16" s="44" customFormat="1" ht="16" customHeight="1">
      <c r="A15" s="37"/>
      <c r="B15" s="64" t="s">
        <v>5</v>
      </c>
      <c r="C15" s="65"/>
      <c r="D15" s="65">
        <f t="shared" ref="D15:I15" si="2">SUM(D13:D14)</f>
        <v>5685062</v>
      </c>
      <c r="E15" s="65">
        <f t="shared" si="2"/>
        <v>8199608</v>
      </c>
      <c r="F15" s="65">
        <f t="shared" si="2"/>
        <v>8327726</v>
      </c>
      <c r="G15" s="65">
        <f t="shared" si="2"/>
        <v>12372623</v>
      </c>
      <c r="H15" s="65">
        <f t="shared" si="2"/>
        <v>14847147</v>
      </c>
      <c r="I15" s="65">
        <f t="shared" si="2"/>
        <v>16628805</v>
      </c>
      <c r="J15" s="66">
        <f ca="1">J13*J31</f>
        <v>19837172.542070631</v>
      </c>
      <c r="K15" s="66">
        <f ca="1">K13*K31</f>
        <v>23867638.58359402</v>
      </c>
      <c r="L15" s="66">
        <f ca="1">L13*L31</f>
        <v>29695569.587655474</v>
      </c>
      <c r="M15" s="66">
        <f ca="1">M13*M31</f>
        <v>36252301.060862832</v>
      </c>
      <c r="N15" s="66">
        <f ca="1">N13*N31</f>
        <v>43669817.689442866</v>
      </c>
      <c r="O15" s="62"/>
    </row>
    <row r="16" spans="1:16" s="44" customFormat="1" ht="16" customHeight="1">
      <c r="A16" s="37"/>
      <c r="B16" s="37" t="s">
        <v>123</v>
      </c>
      <c r="C16" s="59"/>
      <c r="D16" s="60">
        <v>-4116768.5999999996</v>
      </c>
      <c r="E16" s="60">
        <v>-5937646.8899999997</v>
      </c>
      <c r="F16" s="60">
        <v>-6030422.5800000001</v>
      </c>
      <c r="G16" s="60">
        <v>-8959485.1500000004</v>
      </c>
      <c r="H16" s="60">
        <v>-10751382.18</v>
      </c>
      <c r="I16" s="60">
        <v>-12041548.049999999</v>
      </c>
      <c r="J16" s="63">
        <f ca="1">-(J13*J32)</f>
        <v>-14364849.082189078</v>
      </c>
      <c r="K16" s="63">
        <f ca="1">-(K13*K32)</f>
        <v>-17283462.422602568</v>
      </c>
      <c r="L16" s="63">
        <f ca="1">-(L13*L32)</f>
        <v>-21503688.322095342</v>
      </c>
      <c r="M16" s="63">
        <f ca="1">-(M13*M32)</f>
        <v>-26251666.285452396</v>
      </c>
      <c r="N16" s="63">
        <f ca="1">-(N13*N32)</f>
        <v>-31622971.430286214</v>
      </c>
      <c r="O16" s="62"/>
      <c r="P16" s="37"/>
    </row>
    <row r="17" spans="1:16" s="44" customFormat="1" ht="16" customHeight="1">
      <c r="A17" s="37"/>
      <c r="B17" s="64" t="s">
        <v>6</v>
      </c>
      <c r="C17" s="65"/>
      <c r="D17" s="65">
        <f t="shared" ref="D17:M17" si="3">D15+D16</f>
        <v>1568293.4000000004</v>
      </c>
      <c r="E17" s="65">
        <f t="shared" si="3"/>
        <v>2261961.1100000003</v>
      </c>
      <c r="F17" s="65">
        <f t="shared" si="3"/>
        <v>2297303.42</v>
      </c>
      <c r="G17" s="65">
        <f t="shared" si="3"/>
        <v>3413137.8499999996</v>
      </c>
      <c r="H17" s="65">
        <f t="shared" si="3"/>
        <v>4095764.8200000003</v>
      </c>
      <c r="I17" s="65">
        <f t="shared" si="3"/>
        <v>4587256.9500000011</v>
      </c>
      <c r="J17" s="66">
        <f t="shared" ref="J17" ca="1" si="4">J15+J16</f>
        <v>5472323.4598815534</v>
      </c>
      <c r="K17" s="66">
        <f t="shared" ca="1" si="3"/>
        <v>6584176.1609914526</v>
      </c>
      <c r="L17" s="66">
        <f t="shared" ca="1" si="3"/>
        <v>8191881.2655601315</v>
      </c>
      <c r="M17" s="66">
        <f t="shared" ca="1" si="3"/>
        <v>10000634.775410436</v>
      </c>
      <c r="N17" s="66">
        <f t="shared" ref="N17" ca="1" si="5">N15+N16</f>
        <v>12046846.259156652</v>
      </c>
      <c r="O17" s="62"/>
    </row>
    <row r="18" spans="1:16" s="44" customFormat="1" ht="16" customHeight="1">
      <c r="A18" s="37"/>
      <c r="B18" s="37" t="s">
        <v>7</v>
      </c>
      <c r="C18" s="59"/>
      <c r="D18" s="60">
        <v>23302</v>
      </c>
      <c r="E18" s="60">
        <v>23201</v>
      </c>
      <c r="F18" s="60">
        <v>22756</v>
      </c>
      <c r="G18" s="60">
        <v>22402</v>
      </c>
      <c r="H18" s="60">
        <v>23200</v>
      </c>
      <c r="I18" s="60">
        <v>24759</v>
      </c>
      <c r="J18" s="63">
        <f t="shared" ref="J18" ca="1" si="6">J271</f>
        <v>29169.139259428299</v>
      </c>
      <c r="K18" s="63">
        <f t="shared" ref="K18:M18" ca="1" si="7">K271</f>
        <v>30937.071262354981</v>
      </c>
      <c r="L18" s="63">
        <f t="shared" ca="1" si="7"/>
        <v>21629.311988970127</v>
      </c>
      <c r="M18" s="63">
        <f t="shared" ca="1" si="7"/>
        <v>12482.849986043442</v>
      </c>
      <c r="N18" s="63">
        <f t="shared" ref="N18" ca="1" si="8">N271</f>
        <v>9999.9999999999436</v>
      </c>
      <c r="O18" s="62"/>
      <c r="P18" s="37"/>
    </row>
    <row r="19" spans="1:16" s="44" customFormat="1" ht="16" customHeight="1">
      <c r="A19" s="37"/>
      <c r="B19" s="37" t="s">
        <v>124</v>
      </c>
      <c r="C19" s="59"/>
      <c r="D19" s="60">
        <v>-161402</v>
      </c>
      <c r="E19" s="60">
        <v>-166325</v>
      </c>
      <c r="F19" s="60">
        <v>-186325</v>
      </c>
      <c r="G19" s="60">
        <v>-96325</v>
      </c>
      <c r="H19" s="60">
        <v>-34325</v>
      </c>
      <c r="I19" s="60">
        <v>-9698</v>
      </c>
      <c r="J19" s="63">
        <f ca="1">-(J263+J183)</f>
        <v>-6833.268</v>
      </c>
      <c r="K19" s="63">
        <f t="shared" ref="K19:N19" ca="1" si="9">-(K263+K183)</f>
        <v>-6024.018</v>
      </c>
      <c r="L19" s="63">
        <f t="shared" ca="1" si="9"/>
        <v>-6024.018</v>
      </c>
      <c r="M19" s="63">
        <f t="shared" ca="1" si="9"/>
        <v>-29926.540209308725</v>
      </c>
      <c r="N19" s="63">
        <f t="shared" ca="1" si="9"/>
        <v>-92359.958485810857</v>
      </c>
      <c r="O19" s="62"/>
    </row>
    <row r="20" spans="1:16" s="44" customFormat="1" ht="16" customHeight="1">
      <c r="A20" s="37"/>
      <c r="B20" s="37" t="s">
        <v>8</v>
      </c>
      <c r="C20" s="59"/>
      <c r="D20" s="60">
        <v>0</v>
      </c>
      <c r="E20" s="60">
        <v>0</v>
      </c>
      <c r="F20" s="60">
        <v>0</v>
      </c>
      <c r="G20" s="60">
        <v>0</v>
      </c>
      <c r="H20" s="60">
        <v>0</v>
      </c>
      <c r="I20" s="60">
        <v>0</v>
      </c>
      <c r="J20" s="63"/>
      <c r="K20" s="63"/>
      <c r="L20" s="63"/>
      <c r="M20" s="63"/>
      <c r="N20" s="63"/>
      <c r="O20" s="62"/>
    </row>
    <row r="21" spans="1:16" s="44" customFormat="1" ht="16" customHeight="1">
      <c r="A21" s="37"/>
      <c r="B21" s="37" t="s">
        <v>125</v>
      </c>
      <c r="C21" s="59"/>
      <c r="D21" s="60">
        <v>0</v>
      </c>
      <c r="E21" s="60">
        <v>0</v>
      </c>
      <c r="F21" s="60">
        <v>0</v>
      </c>
      <c r="G21" s="60">
        <v>0</v>
      </c>
      <c r="H21" s="60">
        <v>0</v>
      </c>
      <c r="I21" s="60">
        <v>0</v>
      </c>
      <c r="J21" s="67"/>
      <c r="K21" s="67"/>
      <c r="L21" s="67"/>
      <c r="M21" s="67"/>
      <c r="N21" s="67"/>
      <c r="O21" s="62"/>
    </row>
    <row r="22" spans="1:16" s="44" customFormat="1" ht="16" customHeight="1">
      <c r="A22" s="37"/>
      <c r="B22" s="64" t="s">
        <v>9</v>
      </c>
      <c r="C22" s="65"/>
      <c r="D22" s="65">
        <f t="shared" ref="D22:I22" si="10">SUM(D17:D21)</f>
        <v>1430193.4000000004</v>
      </c>
      <c r="E22" s="65">
        <f t="shared" si="10"/>
        <v>2118837.1100000003</v>
      </c>
      <c r="F22" s="65">
        <f t="shared" si="10"/>
        <v>2133734.42</v>
      </c>
      <c r="G22" s="65">
        <f t="shared" si="10"/>
        <v>3339214.8499999996</v>
      </c>
      <c r="H22" s="65">
        <f t="shared" si="10"/>
        <v>4084639.8200000003</v>
      </c>
      <c r="I22" s="65">
        <f t="shared" si="10"/>
        <v>4602317.9500000011</v>
      </c>
      <c r="J22" s="66">
        <f ca="1">J17+SUM(J18:J21)</f>
        <v>5494659.331140982</v>
      </c>
      <c r="K22" s="66">
        <f ca="1">K17+SUM(K18:K21)</f>
        <v>6609089.2142538074</v>
      </c>
      <c r="L22" s="66">
        <f ca="1">L17+SUM(L18:L21)</f>
        <v>8207486.5595491016</v>
      </c>
      <c r="M22" s="66">
        <f ca="1">M17+SUM(M18:M21)</f>
        <v>9983191.0851871707</v>
      </c>
      <c r="N22" s="66">
        <f ca="1">N17+SUM(N18:N21)</f>
        <v>11964486.300670842</v>
      </c>
      <c r="O22" s="62"/>
    </row>
    <row r="23" spans="1:16" s="44" customFormat="1" ht="16" customHeight="1">
      <c r="A23" s="37"/>
      <c r="B23" s="37" t="s">
        <v>128</v>
      </c>
      <c r="C23" s="59"/>
      <c r="D23" s="60">
        <v>-484314.71200000017</v>
      </c>
      <c r="E23" s="60">
        <v>-679920.11080000014</v>
      </c>
      <c r="F23" s="60">
        <v>-695415.95760000008</v>
      </c>
      <c r="G23" s="60">
        <v>-982649.598</v>
      </c>
      <c r="H23" s="60">
        <v>-1158105.1496000001</v>
      </c>
      <c r="I23" s="60">
        <v>-1285187.3860000004</v>
      </c>
      <c r="J23" s="63">
        <f ca="1">-(J22*J33)</f>
        <v>-1538504.6127194751</v>
      </c>
      <c r="K23" s="63">
        <f ca="1">-(K22*K33)</f>
        <v>-1850544.9799910663</v>
      </c>
      <c r="L23" s="63">
        <f ca="1">-(L22*L33)</f>
        <v>-2298096.2366737486</v>
      </c>
      <c r="M23" s="63">
        <f ca="1">-(M22*M33)</f>
        <v>-2795293.5038524079</v>
      </c>
      <c r="N23" s="63">
        <f ca="1">-(N22*N33)</f>
        <v>-3350056.164187836</v>
      </c>
      <c r="O23" s="62"/>
    </row>
    <row r="24" spans="1:16" s="44" customFormat="1" ht="16" customHeight="1">
      <c r="A24" s="37"/>
      <c r="B24" s="64" t="s">
        <v>10</v>
      </c>
      <c r="C24" s="65"/>
      <c r="D24" s="65">
        <f t="shared" ref="D24:M24" si="11">SUM(D22:D23)</f>
        <v>945878.6880000002</v>
      </c>
      <c r="E24" s="65">
        <f t="shared" si="11"/>
        <v>1438916.9992000002</v>
      </c>
      <c r="F24" s="65">
        <f t="shared" si="11"/>
        <v>1438318.4623999998</v>
      </c>
      <c r="G24" s="65">
        <f t="shared" si="11"/>
        <v>2356565.2519999994</v>
      </c>
      <c r="H24" s="65">
        <f t="shared" si="11"/>
        <v>2926534.6704000002</v>
      </c>
      <c r="I24" s="65">
        <f t="shared" si="11"/>
        <v>3317130.5640000007</v>
      </c>
      <c r="J24" s="66">
        <f t="shared" ref="J24" ca="1" si="12">SUM(J22:J23)</f>
        <v>3956154.7184215067</v>
      </c>
      <c r="K24" s="66">
        <f t="shared" ca="1" si="11"/>
        <v>4758544.2342627412</v>
      </c>
      <c r="L24" s="66">
        <f t="shared" ca="1" si="11"/>
        <v>5909390.3228753526</v>
      </c>
      <c r="M24" s="66">
        <f t="shared" ca="1" si="11"/>
        <v>7187897.5813347623</v>
      </c>
      <c r="N24" s="66">
        <f t="shared" ref="N24" ca="1" si="13">SUM(N22:N23)</f>
        <v>8614430.1364830062</v>
      </c>
      <c r="O24" s="62"/>
    </row>
    <row r="25" spans="1:16" s="44" customFormat="1" ht="16" customHeight="1">
      <c r="A25" s="37"/>
      <c r="B25" s="37"/>
      <c r="C25" s="37"/>
      <c r="D25" s="37"/>
      <c r="E25" s="37"/>
      <c r="F25" s="37"/>
      <c r="G25" s="37"/>
      <c r="H25" s="37"/>
      <c r="I25" s="37"/>
      <c r="J25" s="37"/>
      <c r="K25" s="67"/>
      <c r="L25" s="67"/>
      <c r="M25" s="67"/>
      <c r="N25" s="67"/>
      <c r="O25" s="62"/>
    </row>
    <row r="26" spans="1:16" s="44" customFormat="1" ht="16" customHeight="1">
      <c r="A26" s="37"/>
      <c r="B26" s="37" t="s">
        <v>11</v>
      </c>
      <c r="C26" s="68"/>
      <c r="D26" s="60">
        <v>500000</v>
      </c>
      <c r="E26" s="60">
        <v>500000</v>
      </c>
      <c r="F26" s="60">
        <v>500000</v>
      </c>
      <c r="G26" s="60">
        <v>500000</v>
      </c>
      <c r="H26" s="60">
        <v>500000</v>
      </c>
      <c r="I26" s="60">
        <f t="shared" ref="I26:N26" si="14">H26</f>
        <v>500000</v>
      </c>
      <c r="J26" s="63">
        <f t="shared" si="14"/>
        <v>500000</v>
      </c>
      <c r="K26" s="63">
        <f t="shared" si="14"/>
        <v>500000</v>
      </c>
      <c r="L26" s="63">
        <f t="shared" si="14"/>
        <v>500000</v>
      </c>
      <c r="M26" s="63">
        <f t="shared" si="14"/>
        <v>500000</v>
      </c>
      <c r="N26" s="63">
        <f t="shared" si="14"/>
        <v>500000</v>
      </c>
      <c r="O26" s="62"/>
    </row>
    <row r="27" spans="1:16" s="44" customFormat="1" ht="16" customHeight="1">
      <c r="A27" s="37"/>
      <c r="B27" s="37" t="s">
        <v>12</v>
      </c>
      <c r="C27" s="69"/>
      <c r="D27" s="69">
        <f t="shared" ref="D27:M27" si="15">D24/D26</f>
        <v>1.8917573760000004</v>
      </c>
      <c r="E27" s="69">
        <f t="shared" si="15"/>
        <v>2.8778339984000003</v>
      </c>
      <c r="F27" s="69">
        <f t="shared" si="15"/>
        <v>2.8766369247999997</v>
      </c>
      <c r="G27" s="69">
        <f t="shared" si="15"/>
        <v>4.7131305039999987</v>
      </c>
      <c r="H27" s="69">
        <f t="shared" si="15"/>
        <v>5.8530693408000003</v>
      </c>
      <c r="I27" s="69">
        <f t="shared" si="15"/>
        <v>6.6342611280000012</v>
      </c>
      <c r="J27" s="69">
        <f t="shared" ca="1" si="15"/>
        <v>7.9123094368430138</v>
      </c>
      <c r="K27" s="70">
        <f t="shared" ca="1" si="15"/>
        <v>9.5170884685254826</v>
      </c>
      <c r="L27" s="70">
        <f t="shared" ca="1" si="15"/>
        <v>11.818780645750705</v>
      </c>
      <c r="M27" s="70">
        <f t="shared" ca="1" si="15"/>
        <v>14.375795162669524</v>
      </c>
      <c r="N27" s="70">
        <f t="shared" ref="N27" ca="1" si="16">N24/N26</f>
        <v>17.228860272966013</v>
      </c>
      <c r="O27" s="62"/>
    </row>
    <row r="28" spans="1:16" s="44" customFormat="1" ht="16" customHeight="1">
      <c r="A28" s="37"/>
      <c r="B28" s="37"/>
      <c r="C28" s="37"/>
      <c r="D28" s="37"/>
      <c r="E28" s="37"/>
      <c r="F28" s="37"/>
      <c r="G28" s="37"/>
      <c r="H28" s="37"/>
      <c r="I28" s="37"/>
      <c r="J28" s="37"/>
      <c r="K28" s="67"/>
      <c r="L28" s="67"/>
      <c r="M28" s="67"/>
      <c r="N28" s="67"/>
      <c r="O28" s="62"/>
    </row>
    <row r="29" spans="1:16" s="44" customFormat="1" ht="16" customHeight="1">
      <c r="A29" s="37"/>
      <c r="B29" s="71" t="s">
        <v>13</v>
      </c>
      <c r="C29" s="37"/>
      <c r="D29" s="37"/>
      <c r="E29" s="37"/>
      <c r="F29" s="37"/>
      <c r="G29" s="37"/>
      <c r="H29" s="37"/>
      <c r="I29" s="37"/>
      <c r="J29" s="37"/>
      <c r="K29" s="67"/>
      <c r="L29" s="67"/>
      <c r="M29" s="67"/>
      <c r="N29" s="67"/>
      <c r="O29" s="62"/>
    </row>
    <row r="30" spans="1:16" s="44" customFormat="1" ht="16" customHeight="1">
      <c r="A30" s="37"/>
      <c r="B30" s="72" t="s">
        <v>14</v>
      </c>
      <c r="C30" s="73"/>
      <c r="D30" s="73" t="s">
        <v>15</v>
      </c>
      <c r="E30" s="73">
        <f t="shared" ref="E30:I30" si="17">E13/D13-1</f>
        <v>0.44230766091637985</v>
      </c>
      <c r="F30" s="73">
        <f t="shared" si="17"/>
        <v>1.5624992815967298E-2</v>
      </c>
      <c r="G30" s="73">
        <f t="shared" si="17"/>
        <v>0.48571431456798497</v>
      </c>
      <c r="H30" s="73">
        <f t="shared" si="17"/>
        <v>0.19999999999999996</v>
      </c>
      <c r="I30" s="73">
        <f t="shared" si="17"/>
        <v>0.12000000078129491</v>
      </c>
      <c r="J30" s="74">
        <f ca="1">J49</f>
        <v>0.19294039458565115</v>
      </c>
      <c r="K30" s="74">
        <f ca="1">K49</f>
        <v>0.20317744542351424</v>
      </c>
      <c r="L30" s="74">
        <f ca="1">L49</f>
        <v>0.244177109672987</v>
      </c>
      <c r="M30" s="74">
        <f ca="1">M49</f>
        <v>0.2207983064225516</v>
      </c>
      <c r="N30" s="74">
        <f ca="1">N49</f>
        <v>0.20460816035172513</v>
      </c>
      <c r="O30" s="62"/>
    </row>
    <row r="31" spans="1:16" s="44" customFormat="1" ht="16" customHeight="1">
      <c r="A31" s="37"/>
      <c r="B31" s="72" t="s">
        <v>16</v>
      </c>
      <c r="C31" s="73"/>
      <c r="D31" s="73">
        <f t="shared" ref="D31:I31" si="18">D15/D13</f>
        <v>0.29000003060652962</v>
      </c>
      <c r="E31" s="73">
        <f t="shared" si="18"/>
        <v>0.29000001379334295</v>
      </c>
      <c r="F31" s="73">
        <f t="shared" si="18"/>
        <v>0.28999998537415927</v>
      </c>
      <c r="G31" s="73">
        <f t="shared" si="18"/>
        <v>0.29000001523525043</v>
      </c>
      <c r="H31" s="73">
        <f t="shared" si="18"/>
        <v>0.290000003515827</v>
      </c>
      <c r="I31" s="73">
        <f t="shared" si="18"/>
        <v>0.29000000959179001</v>
      </c>
      <c r="J31" s="74">
        <f t="shared" ref="J31" ca="1" si="19">J302</f>
        <v>0.28999999999999998</v>
      </c>
      <c r="K31" s="74">
        <f t="shared" ref="K31:M31" ca="1" si="20">K302</f>
        <v>0.28999999999999998</v>
      </c>
      <c r="L31" s="74">
        <f t="shared" ca="1" si="20"/>
        <v>0.28999999999999998</v>
      </c>
      <c r="M31" s="74">
        <f t="shared" ca="1" si="20"/>
        <v>0.28999999999999998</v>
      </c>
      <c r="N31" s="74">
        <f t="shared" ref="N31" ca="1" si="21">N302</f>
        <v>0.28999999999999998</v>
      </c>
      <c r="O31" s="62"/>
    </row>
    <row r="32" spans="1:16" s="44" customFormat="1" ht="16" customHeight="1">
      <c r="A32" s="37"/>
      <c r="B32" s="72" t="s">
        <v>17</v>
      </c>
      <c r="C32" s="73"/>
      <c r="D32" s="73">
        <f t="shared" ref="D32:I32" si="22">-D16/D$13</f>
        <v>0.21</v>
      </c>
      <c r="E32" s="73">
        <f t="shared" si="22"/>
        <v>0.21</v>
      </c>
      <c r="F32" s="73">
        <f t="shared" si="22"/>
        <v>0.21</v>
      </c>
      <c r="G32" s="73">
        <f t="shared" si="22"/>
        <v>0.21000000000000002</v>
      </c>
      <c r="H32" s="73">
        <f t="shared" si="22"/>
        <v>0.21</v>
      </c>
      <c r="I32" s="73">
        <f t="shared" si="22"/>
        <v>0.21</v>
      </c>
      <c r="J32" s="74">
        <f ca="1">J303</f>
        <v>0.21</v>
      </c>
      <c r="K32" s="74">
        <f ca="1">K303</f>
        <v>0.21</v>
      </c>
      <c r="L32" s="74">
        <f ca="1">L303</f>
        <v>0.21</v>
      </c>
      <c r="M32" s="74">
        <f ca="1">M303</f>
        <v>0.21</v>
      </c>
      <c r="N32" s="74">
        <f ca="1">N303</f>
        <v>0.21</v>
      </c>
      <c r="O32" s="62"/>
    </row>
    <row r="33" spans="1:18" s="44" customFormat="1" ht="16" customHeight="1">
      <c r="A33" s="37"/>
      <c r="B33" s="72" t="s">
        <v>18</v>
      </c>
      <c r="C33" s="73"/>
      <c r="D33" s="73">
        <f t="shared" ref="D33:I33" si="23">-D23/D22</f>
        <v>0.33863581806488552</v>
      </c>
      <c r="E33" s="73">
        <f t="shared" si="23"/>
        <v>0.32089305383177852</v>
      </c>
      <c r="F33" s="73">
        <f t="shared" si="23"/>
        <v>0.32591495505799645</v>
      </c>
      <c r="G33" s="73">
        <f t="shared" si="23"/>
        <v>0.29427564326985434</v>
      </c>
      <c r="H33" s="73">
        <f t="shared" si="23"/>
        <v>0.28352687155657214</v>
      </c>
      <c r="I33" s="73">
        <f t="shared" si="23"/>
        <v>0.27924784857595508</v>
      </c>
      <c r="J33" s="75">
        <v>0.28000000000000003</v>
      </c>
      <c r="K33" s="75">
        <v>0.28000000000000003</v>
      </c>
      <c r="L33" s="75">
        <v>0.28000000000000003</v>
      </c>
      <c r="M33" s="75">
        <v>0.28000000000000003</v>
      </c>
      <c r="N33" s="75">
        <v>0.28000000000000003</v>
      </c>
      <c r="O33" s="62"/>
    </row>
    <row r="34" spans="1:18" s="44" customFormat="1" ht="16" customHeight="1">
      <c r="A34" s="37"/>
      <c r="B34" s="37"/>
      <c r="C34" s="37"/>
      <c r="D34" s="37"/>
      <c r="E34" s="37"/>
      <c r="F34" s="37"/>
      <c r="G34" s="37"/>
      <c r="H34" s="37"/>
      <c r="I34" s="37"/>
      <c r="J34" s="37"/>
      <c r="K34" s="67"/>
      <c r="L34" s="67"/>
      <c r="M34" s="67"/>
      <c r="N34" s="67"/>
      <c r="O34" s="37"/>
    </row>
    <row r="35" spans="1:18" s="44" customFormat="1" ht="16" customHeight="1">
      <c r="A35" s="37"/>
      <c r="B35" s="71" t="s">
        <v>19</v>
      </c>
      <c r="C35" s="37"/>
      <c r="D35" s="37"/>
      <c r="E35" s="37"/>
      <c r="F35" s="37"/>
      <c r="G35" s="37"/>
      <c r="H35" s="37"/>
      <c r="I35" s="37"/>
      <c r="J35" s="37"/>
      <c r="K35" s="67"/>
      <c r="L35" s="67"/>
      <c r="M35" s="67"/>
      <c r="N35" s="67"/>
      <c r="O35" s="37"/>
    </row>
    <row r="36" spans="1:18" s="44" customFormat="1" ht="16" customHeight="1">
      <c r="A36" s="37"/>
      <c r="B36" s="72" t="s">
        <v>20</v>
      </c>
      <c r="C36" s="76"/>
      <c r="D36" s="60">
        <v>210365</v>
      </c>
      <c r="E36" s="60">
        <f>D36*0.9</f>
        <v>189328.5</v>
      </c>
      <c r="F36" s="60">
        <f t="shared" ref="F36:I36" si="24">E36*0.9</f>
        <v>170395.65</v>
      </c>
      <c r="G36" s="60">
        <f t="shared" si="24"/>
        <v>153356.08499999999</v>
      </c>
      <c r="H36" s="60">
        <f t="shared" si="24"/>
        <v>138020.47649999999</v>
      </c>
      <c r="I36" s="60">
        <f t="shared" si="24"/>
        <v>124218.42885</v>
      </c>
      <c r="J36" s="63">
        <f ca="1">-J155</f>
        <v>445092.38526490849</v>
      </c>
      <c r="K36" s="63">
        <f>-K155</f>
        <v>443646.40809299838</v>
      </c>
      <c r="L36" s="63">
        <f>-L155</f>
        <v>443646.40809299838</v>
      </c>
      <c r="M36" s="63">
        <f>-M155</f>
        <v>443646.40809299838</v>
      </c>
      <c r="N36" s="63">
        <f>-N155</f>
        <v>443646.40809299838</v>
      </c>
      <c r="O36" s="37"/>
    </row>
    <row r="37" spans="1:18" s="44" customFormat="1" ht="16" customHeight="1">
      <c r="A37" s="37"/>
      <c r="B37" s="72" t="s">
        <v>21</v>
      </c>
      <c r="C37" s="76"/>
      <c r="D37" s="77">
        <f>D83</f>
        <v>-36000</v>
      </c>
      <c r="E37" s="77">
        <f t="shared" ref="E37:M37" si="25">E83</f>
        <v>-36000</v>
      </c>
      <c r="F37" s="77">
        <f t="shared" si="25"/>
        <v>-36000</v>
      </c>
      <c r="G37" s="77">
        <f t="shared" si="25"/>
        <v>-36000</v>
      </c>
      <c r="H37" s="77">
        <f t="shared" si="25"/>
        <v>-36000</v>
      </c>
      <c r="I37" s="77">
        <f t="shared" si="25"/>
        <v>-36000</v>
      </c>
      <c r="J37" s="77">
        <f t="shared" si="25"/>
        <v>-186000</v>
      </c>
      <c r="K37" s="63">
        <f t="shared" si="25"/>
        <v>-186000</v>
      </c>
      <c r="L37" s="63">
        <f t="shared" si="25"/>
        <v>-186000</v>
      </c>
      <c r="M37" s="63">
        <f t="shared" si="25"/>
        <v>-186000</v>
      </c>
      <c r="N37" s="63">
        <f t="shared" ref="N37" si="26">N83</f>
        <v>-186000</v>
      </c>
      <c r="O37" s="37"/>
    </row>
    <row r="38" spans="1:18" s="44" customFormat="1" ht="16" customHeight="1">
      <c r="A38" s="37"/>
      <c r="B38" s="78" t="s">
        <v>22</v>
      </c>
      <c r="C38" s="79"/>
      <c r="D38" s="79">
        <f t="shared" ref="D38:N38" si="27">D17+SUM(D36:D37)</f>
        <v>1742658.4000000004</v>
      </c>
      <c r="E38" s="79">
        <f t="shared" si="27"/>
        <v>2415289.6100000003</v>
      </c>
      <c r="F38" s="79">
        <f t="shared" si="27"/>
        <v>2431699.0699999998</v>
      </c>
      <c r="G38" s="79">
        <f t="shared" si="27"/>
        <v>3530493.9349999996</v>
      </c>
      <c r="H38" s="79">
        <f t="shared" si="27"/>
        <v>4197785.2965000002</v>
      </c>
      <c r="I38" s="79">
        <f t="shared" si="27"/>
        <v>4675475.3788500009</v>
      </c>
      <c r="J38" s="79">
        <f t="shared" ca="1" si="27"/>
        <v>5731415.8451464623</v>
      </c>
      <c r="K38" s="80">
        <f t="shared" ca="1" si="27"/>
        <v>6841822.5690844506</v>
      </c>
      <c r="L38" s="80">
        <f t="shared" ca="1" si="27"/>
        <v>8449527.6736531295</v>
      </c>
      <c r="M38" s="80">
        <f t="shared" ca="1" si="27"/>
        <v>10258281.183503434</v>
      </c>
      <c r="N38" s="80">
        <f t="shared" ca="1" si="27"/>
        <v>12304492.66724965</v>
      </c>
      <c r="O38" s="37"/>
    </row>
    <row r="39" spans="1:18" s="44" customFormat="1" ht="16" customHeight="1">
      <c r="A39" s="37"/>
      <c r="B39" s="81"/>
      <c r="C39" s="61"/>
      <c r="D39" s="61"/>
      <c r="E39" s="61"/>
      <c r="F39" s="61"/>
      <c r="G39" s="61"/>
      <c r="H39" s="61"/>
      <c r="I39" s="61"/>
      <c r="J39" s="61"/>
      <c r="K39" s="82"/>
      <c r="L39" s="82"/>
      <c r="M39" s="82"/>
      <c r="N39" s="82"/>
      <c r="O39" s="37"/>
    </row>
    <row r="40" spans="1:18" s="44" customFormat="1" ht="16" customHeight="1">
      <c r="A40" s="37"/>
      <c r="B40" s="38" t="s">
        <v>23</v>
      </c>
      <c r="C40" s="39"/>
      <c r="D40" s="39"/>
      <c r="E40" s="39"/>
      <c r="F40" s="39"/>
      <c r="G40" s="40"/>
      <c r="H40" s="40"/>
      <c r="I40" s="40"/>
      <c r="J40" s="40"/>
      <c r="K40" s="40"/>
      <c r="L40" s="40"/>
      <c r="M40" s="40"/>
      <c r="N40" s="37"/>
      <c r="O40" s="37"/>
    </row>
    <row r="41" spans="1:18" s="44" customFormat="1" ht="16" customHeight="1">
      <c r="A41" s="37"/>
      <c r="B41" s="45" t="str">
        <f>$B$10</f>
        <v xml:space="preserve">Fiscal year  </v>
      </c>
      <c r="C41" s="46"/>
      <c r="D41" s="47">
        <f ca="1">D$10</f>
        <v>2016</v>
      </c>
      <c r="E41" s="47">
        <f t="shared" ref="E41:I41" ca="1" si="28">E$10</f>
        <v>2017</v>
      </c>
      <c r="F41" s="47">
        <f t="shared" ca="1" si="28"/>
        <v>2018</v>
      </c>
      <c r="G41" s="47">
        <f t="shared" ca="1" si="28"/>
        <v>2019</v>
      </c>
      <c r="H41" s="47">
        <f t="shared" ca="1" si="28"/>
        <v>2020</v>
      </c>
      <c r="I41" s="47">
        <f t="shared" ca="1" si="28"/>
        <v>2021</v>
      </c>
      <c r="J41" s="48">
        <f ca="1">J$10</f>
        <v>2022</v>
      </c>
      <c r="K41" s="48">
        <f t="shared" ref="K41:N41" ca="1" si="29">K$10</f>
        <v>2023</v>
      </c>
      <c r="L41" s="48">
        <f t="shared" ca="1" si="29"/>
        <v>2024</v>
      </c>
      <c r="M41" s="48">
        <f t="shared" ca="1" si="29"/>
        <v>2025</v>
      </c>
      <c r="N41" s="48">
        <f t="shared" ca="1" si="29"/>
        <v>2026</v>
      </c>
      <c r="O41" s="37"/>
    </row>
    <row r="42" spans="1:18" s="44" customFormat="1" ht="16" customHeight="1">
      <c r="A42" s="37"/>
      <c r="B42" s="51" t="str">
        <f>$B$11</f>
        <v>Fiscal year end date</v>
      </c>
      <c r="C42" s="52"/>
      <c r="D42" s="53">
        <f>D$11</f>
        <v>42460</v>
      </c>
      <c r="E42" s="53">
        <f t="shared" ref="E42:I42" si="30">E$11</f>
        <v>42825</v>
      </c>
      <c r="F42" s="53">
        <f t="shared" si="30"/>
        <v>43190</v>
      </c>
      <c r="G42" s="53">
        <f t="shared" si="30"/>
        <v>43555</v>
      </c>
      <c r="H42" s="53">
        <f t="shared" si="30"/>
        <v>43921</v>
      </c>
      <c r="I42" s="53">
        <f t="shared" si="30"/>
        <v>44286</v>
      </c>
      <c r="J42" s="54">
        <f>J$11</f>
        <v>44651</v>
      </c>
      <c r="K42" s="54">
        <f t="shared" ref="K42:N42" si="31">K$11</f>
        <v>45016</v>
      </c>
      <c r="L42" s="54">
        <f t="shared" si="31"/>
        <v>45382</v>
      </c>
      <c r="M42" s="54">
        <f t="shared" si="31"/>
        <v>45747</v>
      </c>
      <c r="N42" s="54">
        <f t="shared" si="31"/>
        <v>46112</v>
      </c>
      <c r="O42" s="37"/>
    </row>
    <row r="43" spans="1:18" s="44" customFormat="1" ht="16" customHeight="1">
      <c r="A43" s="37"/>
      <c r="B43" s="83" t="s">
        <v>24</v>
      </c>
      <c r="C43" s="45"/>
      <c r="D43" s="45"/>
      <c r="E43" s="45"/>
      <c r="F43" s="45"/>
      <c r="G43" s="45"/>
      <c r="H43" s="45"/>
      <c r="I43" s="45"/>
      <c r="J43" s="45"/>
      <c r="K43" s="45"/>
      <c r="L43" s="45"/>
      <c r="M43" s="45"/>
      <c r="N43" s="37"/>
      <c r="O43" s="37"/>
    </row>
    <row r="44" spans="1:18" s="44" customFormat="1" ht="16" customHeight="1">
      <c r="A44" s="37"/>
      <c r="B44" s="72" t="s">
        <v>140</v>
      </c>
      <c r="C44" s="84"/>
      <c r="D44" s="59">
        <v>6930693</v>
      </c>
      <c r="E44" s="59">
        <v>9996191.6093595289</v>
      </c>
      <c r="F44" s="59">
        <v>10152382.031442802</v>
      </c>
      <c r="G44" s="59">
        <v>15083539.311077371</v>
      </c>
      <c r="H44" s="59">
        <v>18100247.173292845</v>
      </c>
      <c r="I44" s="59">
        <v>20272276.848229617</v>
      </c>
      <c r="J44" s="85">
        <f ca="1">J52*J62</f>
        <v>22745494.623713635</v>
      </c>
      <c r="K44" s="85">
        <f ca="1">K52*K62</f>
        <v>25056436.877482943</v>
      </c>
      <c r="L44" s="85">
        <f ca="1">L52*L62</f>
        <v>27091019.551934559</v>
      </c>
      <c r="M44" s="61">
        <f ca="1">M52*M62</f>
        <v>29014481.940121911</v>
      </c>
      <c r="N44" s="61">
        <f ca="1">N52*N62</f>
        <v>30778562.442081328</v>
      </c>
      <c r="O44" s="86"/>
      <c r="R44" s="179"/>
    </row>
    <row r="45" spans="1:18" s="44" customFormat="1" ht="16" customHeight="1">
      <c r="A45" s="37"/>
      <c r="B45" s="72" t="s">
        <v>141</v>
      </c>
      <c r="C45" s="84"/>
      <c r="D45" s="59">
        <v>5742274</v>
      </c>
      <c r="E45" s="59">
        <v>8282125.7812809441</v>
      </c>
      <c r="F45" s="59">
        <v>8411533.9371143952</v>
      </c>
      <c r="G45" s="59">
        <v>12497136.377845259</v>
      </c>
      <c r="H45" s="59">
        <v>14996563.653414311</v>
      </c>
      <c r="I45" s="59">
        <v>16796151.303540766</v>
      </c>
      <c r="J45" s="61">
        <f ca="1">J54*J64</f>
        <v>18845281.762572739</v>
      </c>
      <c r="K45" s="61">
        <f ca="1">K54*K64</f>
        <v>21528849.885563102</v>
      </c>
      <c r="L45" s="61">
        <f ca="1">L54*L64</f>
        <v>25033746.646932777</v>
      </c>
      <c r="M45" s="61">
        <f ca="1">M54*M64</f>
        <v>29364584.816852145</v>
      </c>
      <c r="N45" s="61">
        <f ca="1">N54*N64</f>
        <v>33546101.694771893</v>
      </c>
      <c r="O45" s="86"/>
      <c r="R45" s="179"/>
    </row>
    <row r="46" spans="1:18" s="44" customFormat="1" ht="16" customHeight="1">
      <c r="A46" s="37"/>
      <c r="B46" s="72" t="s">
        <v>142</v>
      </c>
      <c r="C46" s="84"/>
      <c r="D46" s="59">
        <v>6930693</v>
      </c>
      <c r="E46" s="59">
        <v>9996191.6093595289</v>
      </c>
      <c r="F46" s="59">
        <v>10152382.031442802</v>
      </c>
      <c r="G46" s="59">
        <v>15083539.311077371</v>
      </c>
      <c r="H46" s="59">
        <v>18100247.173292845</v>
      </c>
      <c r="I46" s="59">
        <v>20272276.848229617</v>
      </c>
      <c r="J46" s="61">
        <f ca="1">J56*J66</f>
        <v>24813266.86223305</v>
      </c>
      <c r="K46" s="61">
        <f ca="1">K56*K66</f>
        <v>31636915.249347135</v>
      </c>
      <c r="L46" s="61">
        <f ca="1">L56*L66</f>
        <v>41950549.62063431</v>
      </c>
      <c r="M46" s="61">
        <f ca="1">M56*M66</f>
        <v>51347472.735656396</v>
      </c>
      <c r="N46" s="61">
        <f ca="1">N56*N66</f>
        <v>60230585.518924952</v>
      </c>
      <c r="O46" s="86"/>
      <c r="R46" s="179"/>
    </row>
    <row r="47" spans="1:18" s="44" customFormat="1" ht="16" customHeight="1">
      <c r="A47" s="37"/>
      <c r="B47" s="72" t="s">
        <v>149</v>
      </c>
      <c r="C47" s="76"/>
      <c r="D47" s="59">
        <v>0</v>
      </c>
      <c r="E47" s="59">
        <v>0</v>
      </c>
      <c r="F47" s="59">
        <v>0</v>
      </c>
      <c r="G47" s="59">
        <v>0</v>
      </c>
      <c r="H47" s="59">
        <v>0</v>
      </c>
      <c r="I47" s="59">
        <v>0</v>
      </c>
      <c r="J47" s="61">
        <f ca="1">J58*J68</f>
        <v>2000000</v>
      </c>
      <c r="K47" s="61">
        <f ca="1">K58*K68</f>
        <v>4080000</v>
      </c>
      <c r="L47" s="61">
        <f ca="1">L58*L68</f>
        <v>8323200</v>
      </c>
      <c r="M47" s="61">
        <f ca="1">M58*M68</f>
        <v>15281395.200000001</v>
      </c>
      <c r="N47" s="61">
        <f ca="1">N58*N68</f>
        <v>26030328.583679996</v>
      </c>
      <c r="O47" s="86"/>
      <c r="R47" s="179"/>
    </row>
    <row r="48" spans="1:18" s="44" customFormat="1" ht="16" customHeight="1">
      <c r="A48" s="37"/>
      <c r="B48" s="37" t="s">
        <v>25</v>
      </c>
      <c r="C48" s="61"/>
      <c r="D48" s="61">
        <f t="shared" ref="D48:M48" si="32">SUM(D44:D47)</f>
        <v>19603660</v>
      </c>
      <c r="E48" s="61">
        <f t="shared" si="32"/>
        <v>28274509.000000004</v>
      </c>
      <c r="F48" s="61">
        <f t="shared" si="32"/>
        <v>28716298</v>
      </c>
      <c r="G48" s="61">
        <f t="shared" si="32"/>
        <v>42664215</v>
      </c>
      <c r="H48" s="61">
        <f t="shared" si="32"/>
        <v>51197058</v>
      </c>
      <c r="I48" s="61">
        <f t="shared" si="32"/>
        <v>57340705</v>
      </c>
      <c r="J48" s="61">
        <f ca="1">SUM(J44:J47)</f>
        <v>68404043.248519421</v>
      </c>
      <c r="K48" s="61">
        <f ca="1">SUM(K44:K47)</f>
        <v>82302202.012393177</v>
      </c>
      <c r="L48" s="61">
        <f t="shared" ca="1" si="32"/>
        <v>102398515.81950164</v>
      </c>
      <c r="M48" s="61">
        <f t="shared" ca="1" si="32"/>
        <v>125007934.69263045</v>
      </c>
      <c r="N48" s="61">
        <f t="shared" ref="N48" ca="1" si="33">SUM(N44:N47)</f>
        <v>150585578.23945817</v>
      </c>
      <c r="O48" s="86"/>
      <c r="R48" s="179"/>
    </row>
    <row r="49" spans="1:15" s="44" customFormat="1" ht="16" customHeight="1">
      <c r="A49" s="37"/>
      <c r="B49" s="72" t="s">
        <v>26</v>
      </c>
      <c r="C49" s="37"/>
      <c r="D49" s="73"/>
      <c r="E49" s="73">
        <f t="shared" ref="E49:N49" si="34">E48/D48-1</f>
        <v>0.44230766091638007</v>
      </c>
      <c r="F49" s="73">
        <f t="shared" si="34"/>
        <v>1.5624992815967076E-2</v>
      </c>
      <c r="G49" s="73">
        <f t="shared" si="34"/>
        <v>0.48571431456798497</v>
      </c>
      <c r="H49" s="73">
        <f t="shared" si="34"/>
        <v>0.19999999999999996</v>
      </c>
      <c r="I49" s="73">
        <f t="shared" si="34"/>
        <v>0.12000000078129491</v>
      </c>
      <c r="J49" s="73">
        <f t="shared" ca="1" si="34"/>
        <v>0.19294039458565115</v>
      </c>
      <c r="K49" s="73">
        <f t="shared" ca="1" si="34"/>
        <v>0.20317744542351424</v>
      </c>
      <c r="L49" s="73">
        <f t="shared" ca="1" si="34"/>
        <v>0.244177109672987</v>
      </c>
      <c r="M49" s="73">
        <f t="shared" ca="1" si="34"/>
        <v>0.2207983064225516</v>
      </c>
      <c r="N49" s="73">
        <f t="shared" ca="1" si="34"/>
        <v>0.20460816035172513</v>
      </c>
      <c r="O49" s="37"/>
    </row>
    <row r="50" spans="1:15" s="44" customFormat="1" ht="16" customHeight="1">
      <c r="A50" s="37"/>
      <c r="B50" s="72"/>
      <c r="C50" s="37"/>
      <c r="D50" s="77"/>
      <c r="E50" s="37"/>
      <c r="F50" s="37"/>
      <c r="G50" s="73"/>
      <c r="H50" s="73"/>
      <c r="I50" s="37"/>
      <c r="J50" s="37"/>
      <c r="K50" s="37"/>
      <c r="L50" s="37"/>
      <c r="M50" s="37"/>
      <c r="N50" s="37"/>
      <c r="O50" s="37"/>
    </row>
    <row r="51" spans="1:15" s="44" customFormat="1" ht="16" customHeight="1">
      <c r="A51" s="37"/>
      <c r="B51" s="64" t="s">
        <v>27</v>
      </c>
      <c r="C51" s="37"/>
      <c r="D51" s="37"/>
      <c r="E51" s="37"/>
      <c r="F51" s="37"/>
      <c r="G51" s="37"/>
      <c r="H51" s="37"/>
      <c r="I51" s="37"/>
      <c r="J51" s="37"/>
      <c r="K51" s="37"/>
      <c r="L51" s="37"/>
      <c r="M51" s="37"/>
      <c r="N51" s="37"/>
      <c r="O51" s="37"/>
    </row>
    <row r="52" spans="1:15" s="44" customFormat="1" ht="16" customHeight="1">
      <c r="A52" s="37"/>
      <c r="B52" s="72" t="s">
        <v>140</v>
      </c>
      <c r="C52" s="76"/>
      <c r="D52" s="59">
        <v>41</v>
      </c>
      <c r="E52" s="59">
        <v>61</v>
      </c>
      <c r="F52" s="59">
        <v>60.058592018021123</v>
      </c>
      <c r="G52" s="59">
        <v>87</v>
      </c>
      <c r="H52" s="59">
        <v>104</v>
      </c>
      <c r="I52" s="59">
        <v>115</v>
      </c>
      <c r="J52" s="63">
        <f ca="1">I52*(1+J53)</f>
        <v>126.50000000000001</v>
      </c>
      <c r="K52" s="63">
        <f ca="1">J52*(1+K53)</f>
        <v>136.62000000000003</v>
      </c>
      <c r="L52" s="63">
        <f ca="1">K52*(1+L53)</f>
        <v>144.81720000000004</v>
      </c>
      <c r="M52" s="77">
        <f ca="1">L52*(1+M53)</f>
        <v>152.05806000000004</v>
      </c>
      <c r="N52" s="77">
        <f ca="1">M52*(1+N53)</f>
        <v>158.14038240000005</v>
      </c>
      <c r="O52" s="37"/>
    </row>
    <row r="53" spans="1:15" s="44" customFormat="1" ht="16" customHeight="1">
      <c r="A53" s="37"/>
      <c r="B53" s="72" t="s">
        <v>26</v>
      </c>
      <c r="C53" s="76"/>
      <c r="D53" s="76"/>
      <c r="E53" s="73">
        <f>E52/D52-1</f>
        <v>0.48780487804878048</v>
      </c>
      <c r="F53" s="73">
        <f>F52/E52-1</f>
        <v>-1.5432917737358665E-2</v>
      </c>
      <c r="G53" s="73">
        <f>G52/F52-1</f>
        <v>0.44858540762818522</v>
      </c>
      <c r="H53" s="73">
        <f>H52/G52-1</f>
        <v>0.19540229885057481</v>
      </c>
      <c r="I53" s="73">
        <f t="shared" ref="I53" si="35">I52/H52-1</f>
        <v>0.10576923076923084</v>
      </c>
      <c r="J53" s="74">
        <f t="shared" ref="J53:M53" ca="1" si="36">J304</f>
        <v>0.1</v>
      </c>
      <c r="K53" s="74">
        <f t="shared" ca="1" si="36"/>
        <v>0.08</v>
      </c>
      <c r="L53" s="74">
        <f t="shared" ca="1" si="36"/>
        <v>0.06</v>
      </c>
      <c r="M53" s="73">
        <f t="shared" ca="1" si="36"/>
        <v>0.05</v>
      </c>
      <c r="N53" s="73">
        <f t="shared" ref="N53" ca="1" si="37">N304</f>
        <v>0.04</v>
      </c>
      <c r="O53" s="37"/>
    </row>
    <row r="54" spans="1:15" s="44" customFormat="1" ht="16" customHeight="1">
      <c r="A54" s="37"/>
      <c r="B54" s="72" t="s">
        <v>141</v>
      </c>
      <c r="C54" s="76"/>
      <c r="D54" s="59">
        <v>29</v>
      </c>
      <c r="E54" s="59">
        <v>43</v>
      </c>
      <c r="F54" s="59">
        <v>42.480467524941773</v>
      </c>
      <c r="G54" s="59">
        <v>62</v>
      </c>
      <c r="H54" s="59">
        <v>72</v>
      </c>
      <c r="I54" s="59">
        <v>79</v>
      </c>
      <c r="J54" s="77">
        <f ca="1">I54*(1+J55)</f>
        <v>86.9</v>
      </c>
      <c r="K54" s="77">
        <f ca="1">J54*(1+K55)</f>
        <v>97.328000000000017</v>
      </c>
      <c r="L54" s="77">
        <f ca="1">K54*(1+L55)</f>
        <v>110.95392000000002</v>
      </c>
      <c r="M54" s="77">
        <f ca="1">L54*(1+M55)</f>
        <v>127.59700800000002</v>
      </c>
      <c r="N54" s="77">
        <f ca="1">M54*(1+N55)</f>
        <v>142.90864896000002</v>
      </c>
      <c r="O54" s="37"/>
    </row>
    <row r="55" spans="1:15" s="44" customFormat="1" ht="16" customHeight="1">
      <c r="A55" s="37"/>
      <c r="B55" s="72" t="s">
        <v>26</v>
      </c>
      <c r="C55" s="76"/>
      <c r="D55" s="76"/>
      <c r="E55" s="73">
        <f>E54/D54-1</f>
        <v>0.48275862068965525</v>
      </c>
      <c r="F55" s="73">
        <f>F54/E54-1</f>
        <v>-1.2082150582749418E-2</v>
      </c>
      <c r="G55" s="73">
        <f>G54/F54-1</f>
        <v>0.4594942949626819</v>
      </c>
      <c r="H55" s="73">
        <f>H54/G54-1</f>
        <v>0.16129032258064524</v>
      </c>
      <c r="I55" s="73">
        <f t="shared" ref="I55" si="38">I54/H54-1</f>
        <v>9.7222222222222321E-2</v>
      </c>
      <c r="J55" s="73">
        <f t="shared" ref="J55" ca="1" si="39">J306</f>
        <v>0.1</v>
      </c>
      <c r="K55" s="73">
        <f t="shared" ref="K55:M55" ca="1" si="40">K306</f>
        <v>0.12</v>
      </c>
      <c r="L55" s="73">
        <f t="shared" ca="1" si="40"/>
        <v>0.14000000000000001</v>
      </c>
      <c r="M55" s="73">
        <f t="shared" ca="1" si="40"/>
        <v>0.15</v>
      </c>
      <c r="N55" s="73">
        <f t="shared" ref="N55" ca="1" si="41">N306</f>
        <v>0.12</v>
      </c>
      <c r="O55" s="37"/>
    </row>
    <row r="56" spans="1:15" s="44" customFormat="1" ht="16" customHeight="1">
      <c r="A56" s="37"/>
      <c r="B56" s="72" t="s">
        <v>142</v>
      </c>
      <c r="C56" s="76"/>
      <c r="D56" s="59">
        <v>24</v>
      </c>
      <c r="E56" s="59">
        <v>34</v>
      </c>
      <c r="F56" s="59">
        <v>34</v>
      </c>
      <c r="G56" s="59">
        <v>50</v>
      </c>
      <c r="H56" s="59">
        <v>59</v>
      </c>
      <c r="I56" s="59">
        <v>64</v>
      </c>
      <c r="J56" s="77">
        <f ca="1">I56*(1+J57)</f>
        <v>76.8</v>
      </c>
      <c r="K56" s="77">
        <f ca="1">J56*(1+K57)</f>
        <v>96</v>
      </c>
      <c r="L56" s="77">
        <f ca="1">K56*(1+L57)</f>
        <v>124.80000000000001</v>
      </c>
      <c r="M56" s="77">
        <f ca="1">L56*(1+M57)</f>
        <v>149.76000000000002</v>
      </c>
      <c r="N56" s="77">
        <f ca="1">M56*(1+N57)</f>
        <v>172.22400000000002</v>
      </c>
      <c r="O56" s="37"/>
    </row>
    <row r="57" spans="1:15" s="44" customFormat="1" ht="16" customHeight="1">
      <c r="A57" s="37"/>
      <c r="B57" s="72" t="s">
        <v>26</v>
      </c>
      <c r="C57" s="76"/>
      <c r="D57" s="76"/>
      <c r="E57" s="73">
        <f>E56/D56-1</f>
        <v>0.41666666666666674</v>
      </c>
      <c r="F57" s="73">
        <f>F56/E56-1</f>
        <v>0</v>
      </c>
      <c r="G57" s="73">
        <f>G56/F56-1</f>
        <v>0.47058823529411775</v>
      </c>
      <c r="H57" s="73">
        <f>H56/G56-1</f>
        <v>0.17999999999999994</v>
      </c>
      <c r="I57" s="73">
        <f t="shared" ref="I57" si="42">I56/H56-1</f>
        <v>8.4745762711864403E-2</v>
      </c>
      <c r="J57" s="73">
        <f t="shared" ref="J57" ca="1" si="43">J308</f>
        <v>0.2</v>
      </c>
      <c r="K57" s="73">
        <f t="shared" ref="K57:M57" ca="1" si="44">K308</f>
        <v>0.25</v>
      </c>
      <c r="L57" s="73">
        <f t="shared" ca="1" si="44"/>
        <v>0.3</v>
      </c>
      <c r="M57" s="73">
        <f t="shared" ca="1" si="44"/>
        <v>0.2</v>
      </c>
      <c r="N57" s="73">
        <f t="shared" ref="N57" ca="1" si="45">N308</f>
        <v>0.15</v>
      </c>
      <c r="O57" s="37"/>
    </row>
    <row r="58" spans="1:15" s="44" customFormat="1" ht="16" customHeight="1">
      <c r="A58" s="37"/>
      <c r="B58" s="72" t="s">
        <v>149</v>
      </c>
      <c r="C58" s="76"/>
      <c r="D58" s="59">
        <v>0</v>
      </c>
      <c r="E58" s="59">
        <v>0</v>
      </c>
      <c r="F58" s="59">
        <v>0</v>
      </c>
      <c r="G58" s="59">
        <v>0</v>
      </c>
      <c r="H58" s="59">
        <v>0</v>
      </c>
      <c r="I58" s="59">
        <v>0</v>
      </c>
      <c r="J58" s="77">
        <f ca="1">J312</f>
        <v>4</v>
      </c>
      <c r="K58" s="77">
        <f ca="1">J58*(1+K59)</f>
        <v>8</v>
      </c>
      <c r="L58" s="77">
        <f ca="1">K58*(1+L59)</f>
        <v>16</v>
      </c>
      <c r="M58" s="77">
        <f ca="1">L58*(1+M59)</f>
        <v>28.8</v>
      </c>
      <c r="N58" s="77">
        <f ca="1">M58*(1+N59)</f>
        <v>48.095999999999997</v>
      </c>
      <c r="O58" s="37"/>
    </row>
    <row r="59" spans="1:15" s="44" customFormat="1" ht="16" customHeight="1">
      <c r="A59" s="37"/>
      <c r="B59" s="72" t="s">
        <v>26</v>
      </c>
      <c r="C59" s="37"/>
      <c r="D59" s="37"/>
      <c r="E59" s="73">
        <f>IFERROR(E58/D58-1,0)</f>
        <v>0</v>
      </c>
      <c r="F59" s="73">
        <f t="shared" ref="F59:J59" si="46">IFERROR(F58/E58-1,0)</f>
        <v>0</v>
      </c>
      <c r="G59" s="73">
        <f t="shared" si="46"/>
        <v>0</v>
      </c>
      <c r="H59" s="73">
        <f t="shared" si="46"/>
        <v>0</v>
      </c>
      <c r="I59" s="73">
        <f t="shared" si="46"/>
        <v>0</v>
      </c>
      <c r="J59" s="73">
        <f t="shared" ca="1" si="46"/>
        <v>0</v>
      </c>
      <c r="K59" s="73">
        <f t="shared" ref="K59:M59" ca="1" si="47">K310</f>
        <v>1</v>
      </c>
      <c r="L59" s="73">
        <f t="shared" ca="1" si="47"/>
        <v>1</v>
      </c>
      <c r="M59" s="73">
        <f t="shared" ca="1" si="47"/>
        <v>0.8</v>
      </c>
      <c r="N59" s="73">
        <f t="shared" ref="N59" ca="1" si="48">N310</f>
        <v>0.67</v>
      </c>
      <c r="O59" s="37"/>
    </row>
    <row r="60" spans="1:15" s="44" customFormat="1" ht="16" customHeight="1">
      <c r="A60" s="37"/>
      <c r="B60" s="72"/>
      <c r="C60" s="37"/>
      <c r="D60" s="37"/>
      <c r="E60" s="37"/>
      <c r="F60" s="37"/>
      <c r="G60" s="37"/>
      <c r="H60" s="37"/>
      <c r="I60" s="73"/>
      <c r="J60" s="73"/>
      <c r="K60" s="73"/>
      <c r="L60" s="73"/>
      <c r="M60" s="73"/>
      <c r="N60" s="73"/>
      <c r="O60" s="37"/>
    </row>
    <row r="61" spans="1:15" s="44" customFormat="1" ht="16" customHeight="1">
      <c r="A61" s="37"/>
      <c r="B61" s="64" t="s">
        <v>28</v>
      </c>
      <c r="C61" s="37"/>
      <c r="D61" s="37"/>
      <c r="E61" s="37"/>
      <c r="F61" s="37"/>
      <c r="G61" s="37"/>
      <c r="H61" s="37"/>
      <c r="I61" s="37"/>
      <c r="J61" s="37"/>
      <c r="K61" s="37"/>
      <c r="L61" s="37"/>
      <c r="M61" s="37"/>
      <c r="N61" s="37"/>
      <c r="O61" s="37"/>
    </row>
    <row r="62" spans="1:15" s="44" customFormat="1" ht="16" customHeight="1">
      <c r="A62" s="37"/>
      <c r="B62" s="72" t="s">
        <v>140</v>
      </c>
      <c r="C62" s="87"/>
      <c r="D62" s="77">
        <f>D44/D52</f>
        <v>169041.29268292684</v>
      </c>
      <c r="E62" s="77">
        <f>E44/E52</f>
        <v>163871.99359605784</v>
      </c>
      <c r="F62" s="77">
        <f>F44/F52</f>
        <v>169041.29268292684</v>
      </c>
      <c r="G62" s="77">
        <f>G44/G52</f>
        <v>173374.01506985485</v>
      </c>
      <c r="H62" s="77">
        <f>H44/H52</f>
        <v>174040.83820473889</v>
      </c>
      <c r="I62" s="77">
        <f t="shared" ref="I62" si="49">I44/I52</f>
        <v>176280.66824547492</v>
      </c>
      <c r="J62" s="77">
        <f ca="1">I62*(1+J63)</f>
        <v>179806.28161038444</v>
      </c>
      <c r="K62" s="77">
        <f ca="1">J62*(1+K63)</f>
        <v>183402.40724259213</v>
      </c>
      <c r="L62" s="77">
        <f ca="1">K62*(1+L63)</f>
        <v>187070.45538744397</v>
      </c>
      <c r="M62" s="77">
        <f ca="1">L62*(1+M63)</f>
        <v>190811.86449519286</v>
      </c>
      <c r="N62" s="77">
        <f ca="1">M62*(1+N63)</f>
        <v>194628.10178509672</v>
      </c>
      <c r="O62" s="37"/>
    </row>
    <row r="63" spans="1:15" s="44" customFormat="1" ht="16" customHeight="1">
      <c r="A63" s="37"/>
      <c r="B63" s="72" t="s">
        <v>26</v>
      </c>
      <c r="C63" s="87"/>
      <c r="D63" s="87"/>
      <c r="E63" s="73">
        <f>E62/D62-1</f>
        <v>-3.0580096761121722E-2</v>
      </c>
      <c r="F63" s="73">
        <f>F62/E62-1</f>
        <v>3.1544737898357766E-2</v>
      </c>
      <c r="G63" s="73">
        <f>G62/F62-1</f>
        <v>2.5631147976695523E-2</v>
      </c>
      <c r="H63" s="73">
        <f>H62/G62-1</f>
        <v>3.8461538461536104E-3</v>
      </c>
      <c r="I63" s="73">
        <f t="shared" ref="I63" si="50">I62/H62-1</f>
        <v>1.2869565923953719E-2</v>
      </c>
      <c r="J63" s="73">
        <f t="shared" ref="J63" ca="1" si="51">J305</f>
        <v>0.02</v>
      </c>
      <c r="K63" s="73">
        <f t="shared" ref="K63:M63" ca="1" si="52">K305</f>
        <v>0.02</v>
      </c>
      <c r="L63" s="73">
        <f t="shared" ca="1" si="52"/>
        <v>0.02</v>
      </c>
      <c r="M63" s="73">
        <f t="shared" ca="1" si="52"/>
        <v>0.02</v>
      </c>
      <c r="N63" s="73">
        <f t="shared" ref="N63" ca="1" si="53">N305</f>
        <v>0.02</v>
      </c>
      <c r="O63" s="37"/>
    </row>
    <row r="64" spans="1:15" s="44" customFormat="1" ht="16" customHeight="1">
      <c r="A64" s="37"/>
      <c r="B64" s="72" t="s">
        <v>141</v>
      </c>
      <c r="C64" s="87"/>
      <c r="D64" s="77">
        <f>D45/D54</f>
        <v>198009.44827586206</v>
      </c>
      <c r="E64" s="77">
        <f>E45/E54</f>
        <v>192607.57630885916</v>
      </c>
      <c r="F64" s="77">
        <f>F45/F54</f>
        <v>198009.44827586203</v>
      </c>
      <c r="G64" s="77">
        <f>G45/G54</f>
        <v>201566.71577169772</v>
      </c>
      <c r="H64" s="77">
        <f>H45/H54</f>
        <v>208285.60629742098</v>
      </c>
      <c r="I64" s="77">
        <f t="shared" ref="I64" si="54">I45/I54</f>
        <v>212609.5101714021</v>
      </c>
      <c r="J64" s="77">
        <f ca="1">I64*(1+J65)</f>
        <v>216861.70037483014</v>
      </c>
      <c r="K64" s="77">
        <f ca="1">J64*(1+K65)</f>
        <v>221198.93438232676</v>
      </c>
      <c r="L64" s="77">
        <f ca="1">K64*(1+L65)</f>
        <v>225622.91306997329</v>
      </c>
      <c r="M64" s="77">
        <f ca="1">L64*(1+M65)</f>
        <v>230135.37133137276</v>
      </c>
      <c r="N64" s="77">
        <f ca="1">M64*(1+N65)</f>
        <v>234738.07875800022</v>
      </c>
      <c r="O64" s="37"/>
    </row>
    <row r="65" spans="1:15" s="44" customFormat="1" ht="16" customHeight="1">
      <c r="A65" s="37"/>
      <c r="B65" s="72" t="s">
        <v>26</v>
      </c>
      <c r="C65" s="87"/>
      <c r="D65" s="73"/>
      <c r="E65" s="73">
        <f>E64/D64-1</f>
        <v>-2.7280879847092598E-2</v>
      </c>
      <c r="F65" s="73">
        <f>F64/E64-1</f>
        <v>2.8045999386548504E-2</v>
      </c>
      <c r="G65" s="73">
        <f>G64/F64-1</f>
        <v>1.7965140183006767E-2</v>
      </c>
      <c r="H65" s="73">
        <f>H64/G64-1</f>
        <v>3.3333333333333215E-2</v>
      </c>
      <c r="I65" s="73">
        <f t="shared" ref="I65" si="55">I64/H64-1</f>
        <v>2.0759494382952326E-2</v>
      </c>
      <c r="J65" s="73">
        <f t="shared" ref="J65" ca="1" si="56">J307</f>
        <v>0.02</v>
      </c>
      <c r="K65" s="73">
        <f t="shared" ref="K65:M65" ca="1" si="57">K307</f>
        <v>0.02</v>
      </c>
      <c r="L65" s="73">
        <f t="shared" ca="1" si="57"/>
        <v>0.02</v>
      </c>
      <c r="M65" s="73">
        <f t="shared" ca="1" si="57"/>
        <v>0.02</v>
      </c>
      <c r="N65" s="73">
        <f t="shared" ref="N65" ca="1" si="58">N307</f>
        <v>0.02</v>
      </c>
      <c r="O65" s="37"/>
    </row>
    <row r="66" spans="1:15" s="44" customFormat="1" ht="16" customHeight="1">
      <c r="A66" s="37"/>
      <c r="B66" s="72" t="s">
        <v>142</v>
      </c>
      <c r="C66" s="87"/>
      <c r="D66" s="77">
        <f>D46/D56</f>
        <v>288778.875</v>
      </c>
      <c r="E66" s="77">
        <f>E46/E56</f>
        <v>294005.63556939788</v>
      </c>
      <c r="F66" s="77">
        <f>F46/F56</f>
        <v>298599.4715130236</v>
      </c>
      <c r="G66" s="77">
        <f>G46/G56</f>
        <v>301670.7862215474</v>
      </c>
      <c r="H66" s="77">
        <f>H46/H56</f>
        <v>306783.85039479402</v>
      </c>
      <c r="I66" s="77">
        <f t="shared" ref="I66" si="59">I46/I56</f>
        <v>316754.32575358776</v>
      </c>
      <c r="J66" s="77">
        <f ca="1">I66*(1+J67)</f>
        <v>323089.41226865951</v>
      </c>
      <c r="K66" s="77">
        <f ca="1">J66*(1+K67)</f>
        <v>329551.20051403268</v>
      </c>
      <c r="L66" s="77">
        <f ca="1">K66*(1+L67)</f>
        <v>336142.22452431335</v>
      </c>
      <c r="M66" s="77">
        <f ca="1">L66*(1+M67)</f>
        <v>342865.06901479961</v>
      </c>
      <c r="N66" s="77">
        <f ca="1">M66*(1+N67)</f>
        <v>349722.37039509561</v>
      </c>
      <c r="O66" s="37"/>
    </row>
    <row r="67" spans="1:15" s="44" customFormat="1" ht="16" customHeight="1">
      <c r="A67" s="37"/>
      <c r="B67" s="72" t="s">
        <v>26</v>
      </c>
      <c r="C67" s="87"/>
      <c r="D67" s="73"/>
      <c r="E67" s="73">
        <f>E66/D66-1</f>
        <v>1.8099525352738732E-2</v>
      </c>
      <c r="F67" s="73">
        <f>F66/E66-1</f>
        <v>1.5624992815967298E-2</v>
      </c>
      <c r="G67" s="73">
        <f>G66/F66-1</f>
        <v>1.0285733906229888E-2</v>
      </c>
      <c r="H67" s="73">
        <f>H66/G66-1</f>
        <v>1.6949152542373058E-2</v>
      </c>
      <c r="I67" s="73">
        <f t="shared" ref="I67" si="60">I66/H66-1</f>
        <v>3.250000072025605E-2</v>
      </c>
      <c r="J67" s="73">
        <f t="shared" ref="J67" ca="1" si="61">J309</f>
        <v>0.02</v>
      </c>
      <c r="K67" s="73">
        <f t="shared" ref="K67:M67" ca="1" si="62">K309</f>
        <v>0.02</v>
      </c>
      <c r="L67" s="73">
        <f t="shared" ca="1" si="62"/>
        <v>0.02</v>
      </c>
      <c r="M67" s="73">
        <f t="shared" ca="1" si="62"/>
        <v>0.02</v>
      </c>
      <c r="N67" s="73">
        <f t="shared" ref="N67" ca="1" si="63">N309</f>
        <v>0.02</v>
      </c>
      <c r="O67" s="37"/>
    </row>
    <row r="68" spans="1:15" s="44" customFormat="1" ht="16" customHeight="1">
      <c r="A68" s="37"/>
      <c r="B68" s="72" t="s">
        <v>149</v>
      </c>
      <c r="C68" s="87"/>
      <c r="D68" s="77">
        <f>IFERROR(D47/D58,0)</f>
        <v>0</v>
      </c>
      <c r="E68" s="77">
        <f t="shared" ref="E68:I68" si="64">IFERROR(E47/E58,0)</f>
        <v>0</v>
      </c>
      <c r="F68" s="77">
        <f t="shared" si="64"/>
        <v>0</v>
      </c>
      <c r="G68" s="77">
        <f t="shared" si="64"/>
        <v>0</v>
      </c>
      <c r="H68" s="77">
        <f t="shared" si="64"/>
        <v>0</v>
      </c>
      <c r="I68" s="77">
        <f t="shared" si="64"/>
        <v>0</v>
      </c>
      <c r="J68" s="77">
        <f ca="1">J313</f>
        <v>500000</v>
      </c>
      <c r="K68" s="77">
        <f ca="1">J68*(1+K69)</f>
        <v>510000</v>
      </c>
      <c r="L68" s="77">
        <f ca="1">K68*(1+L69)</f>
        <v>520200</v>
      </c>
      <c r="M68" s="77">
        <f ca="1">L68*(1+M69)</f>
        <v>530604</v>
      </c>
      <c r="N68" s="77">
        <f ca="1">M68*(1+N69)</f>
        <v>541216.07999999996</v>
      </c>
      <c r="O68" s="37"/>
    </row>
    <row r="69" spans="1:15" s="44" customFormat="1" ht="16" customHeight="1">
      <c r="A69" s="37"/>
      <c r="B69" s="72" t="s">
        <v>26</v>
      </c>
      <c r="C69" s="37"/>
      <c r="D69" s="73"/>
      <c r="E69" s="73">
        <f>IFERROR(E68/D68-1,0)</f>
        <v>0</v>
      </c>
      <c r="F69" s="73">
        <f t="shared" ref="F69:I69" si="65">IFERROR(F68/E68-1,0)</f>
        <v>0</v>
      </c>
      <c r="G69" s="73">
        <f t="shared" si="65"/>
        <v>0</v>
      </c>
      <c r="H69" s="73">
        <f t="shared" si="65"/>
        <v>0</v>
      </c>
      <c r="I69" s="73">
        <f t="shared" si="65"/>
        <v>0</v>
      </c>
      <c r="J69" s="88" t="s">
        <v>155</v>
      </c>
      <c r="K69" s="73">
        <f ca="1">K311</f>
        <v>0.02</v>
      </c>
      <c r="L69" s="73">
        <f t="shared" ref="L69:M69" ca="1" si="66">L311</f>
        <v>0.02</v>
      </c>
      <c r="M69" s="73">
        <f t="shared" ca="1" si="66"/>
        <v>0.02</v>
      </c>
      <c r="N69" s="73">
        <f t="shared" ref="N69" ca="1" si="67">N311</f>
        <v>0.02</v>
      </c>
      <c r="O69" s="37"/>
    </row>
    <row r="70" spans="1:15" s="44" customFormat="1" ht="16" customHeight="1">
      <c r="A70" s="37"/>
      <c r="B70" s="72"/>
      <c r="C70" s="37"/>
      <c r="D70" s="73"/>
      <c r="E70" s="73"/>
      <c r="F70" s="73"/>
      <c r="G70" s="73"/>
      <c r="H70" s="73"/>
      <c r="I70" s="89"/>
      <c r="J70" s="89"/>
      <c r="K70" s="89"/>
      <c r="L70" s="89"/>
      <c r="M70" s="89"/>
      <c r="N70" s="37"/>
      <c r="O70" s="37"/>
    </row>
    <row r="71" spans="1:15" s="44" customFormat="1" ht="16" customHeight="1">
      <c r="A71" s="37"/>
      <c r="B71" s="38" t="s">
        <v>29</v>
      </c>
      <c r="C71" s="54"/>
      <c r="D71" s="39"/>
      <c r="E71" s="39"/>
      <c r="F71" s="39"/>
      <c r="G71" s="40"/>
      <c r="H71" s="40"/>
      <c r="I71" s="40"/>
      <c r="J71" s="40"/>
      <c r="K71" s="40"/>
      <c r="L71" s="40"/>
      <c r="M71" s="40"/>
      <c r="N71" s="90"/>
      <c r="O71" s="90"/>
    </row>
    <row r="72" spans="1:15" s="44" customFormat="1" ht="16" customHeight="1">
      <c r="A72" s="37"/>
      <c r="B72" s="45" t="str">
        <f>$B$10</f>
        <v xml:space="preserve">Fiscal year  </v>
      </c>
      <c r="C72" s="46"/>
      <c r="D72" s="47">
        <f ca="1">D$10</f>
        <v>2016</v>
      </c>
      <c r="E72" s="47">
        <f t="shared" ref="E72:I72" ca="1" si="68">E$10</f>
        <v>2017</v>
      </c>
      <c r="F72" s="47">
        <f t="shared" ca="1" si="68"/>
        <v>2018</v>
      </c>
      <c r="G72" s="47">
        <f t="shared" ca="1" si="68"/>
        <v>2019</v>
      </c>
      <c r="H72" s="47">
        <f t="shared" ca="1" si="68"/>
        <v>2020</v>
      </c>
      <c r="I72" s="47">
        <f t="shared" ca="1" si="68"/>
        <v>2021</v>
      </c>
      <c r="J72" s="48">
        <f ca="1">J$10</f>
        <v>2022</v>
      </c>
      <c r="K72" s="48">
        <f t="shared" ref="K72:N72" ca="1" si="69">K$10</f>
        <v>2023</v>
      </c>
      <c r="L72" s="48">
        <f t="shared" ca="1" si="69"/>
        <v>2024</v>
      </c>
      <c r="M72" s="48">
        <f t="shared" ca="1" si="69"/>
        <v>2025</v>
      </c>
      <c r="N72" s="48">
        <f t="shared" ca="1" si="69"/>
        <v>2026</v>
      </c>
      <c r="O72" s="91"/>
    </row>
    <row r="73" spans="1:15" s="44" customFormat="1" ht="16" customHeight="1">
      <c r="A73" s="37"/>
      <c r="B73" s="51" t="str">
        <f>$B$11</f>
        <v>Fiscal year end date</v>
      </c>
      <c r="C73" s="52"/>
      <c r="D73" s="53">
        <f>D$11</f>
        <v>42460</v>
      </c>
      <c r="E73" s="53">
        <f t="shared" ref="E73:I73" si="70">E$11</f>
        <v>42825</v>
      </c>
      <c r="F73" s="53">
        <f t="shared" si="70"/>
        <v>43190</v>
      </c>
      <c r="G73" s="53">
        <f t="shared" si="70"/>
        <v>43555</v>
      </c>
      <c r="H73" s="53">
        <f t="shared" si="70"/>
        <v>43921</v>
      </c>
      <c r="I73" s="53">
        <f t="shared" si="70"/>
        <v>44286</v>
      </c>
      <c r="J73" s="54">
        <f>J$11</f>
        <v>44651</v>
      </c>
      <c r="K73" s="54">
        <f t="shared" ref="K73:N73" si="71">K$11</f>
        <v>45016</v>
      </c>
      <c r="L73" s="54">
        <f t="shared" si="71"/>
        <v>45382</v>
      </c>
      <c r="M73" s="54">
        <f t="shared" si="71"/>
        <v>45747</v>
      </c>
      <c r="N73" s="54">
        <f t="shared" si="71"/>
        <v>46112</v>
      </c>
      <c r="O73" s="90"/>
    </row>
    <row r="74" spans="1:15" s="44" customFormat="1" ht="16" customHeight="1">
      <c r="A74" s="37"/>
      <c r="B74" s="92"/>
      <c r="C74" s="45"/>
      <c r="D74" s="93"/>
      <c r="E74" s="93"/>
      <c r="F74" s="93"/>
      <c r="G74" s="93"/>
      <c r="H74" s="93"/>
      <c r="I74" s="94"/>
      <c r="J74" s="94"/>
      <c r="K74" s="94"/>
      <c r="L74" s="94"/>
      <c r="M74" s="94"/>
      <c r="N74" s="37"/>
      <c r="O74" s="37"/>
    </row>
    <row r="75" spans="1:15" s="44" customFormat="1" ht="16" customHeight="1">
      <c r="A75" s="37"/>
      <c r="B75" s="72" t="s">
        <v>135</v>
      </c>
      <c r="C75" s="61"/>
      <c r="D75" s="60">
        <v>-154000</v>
      </c>
      <c r="E75" s="60">
        <v>-154000</v>
      </c>
      <c r="F75" s="60">
        <v>-154000</v>
      </c>
      <c r="G75" s="60">
        <v>-154000</v>
      </c>
      <c r="H75" s="60">
        <v>-154000</v>
      </c>
      <c r="I75" s="60">
        <v>-154000</v>
      </c>
      <c r="J75" s="60">
        <v>-154000</v>
      </c>
      <c r="K75" s="60">
        <v>-154000</v>
      </c>
      <c r="L75" s="60">
        <v>-154000</v>
      </c>
      <c r="M75" s="60">
        <v>-154000</v>
      </c>
      <c r="N75" s="60">
        <v>-154000</v>
      </c>
      <c r="O75" s="37"/>
    </row>
    <row r="76" spans="1:15" s="44" customFormat="1" ht="16" customHeight="1">
      <c r="A76" s="37"/>
      <c r="B76" s="72" t="s">
        <v>136</v>
      </c>
      <c r="C76" s="61"/>
      <c r="D76" s="60"/>
      <c r="E76" s="60"/>
      <c r="F76" s="60"/>
      <c r="G76" s="60"/>
      <c r="H76" s="60"/>
      <c r="I76" s="60"/>
      <c r="J76" s="60">
        <v>-150000</v>
      </c>
      <c r="K76" s="60">
        <v>-150000</v>
      </c>
      <c r="L76" s="60">
        <v>-150000</v>
      </c>
      <c r="M76" s="60">
        <v>-150000</v>
      </c>
      <c r="N76" s="60">
        <v>-150000</v>
      </c>
      <c r="O76" s="37"/>
    </row>
    <row r="77" spans="1:15" s="44" customFormat="1" ht="16" customHeight="1">
      <c r="A77" s="37"/>
      <c r="B77" s="72" t="s">
        <v>234</v>
      </c>
      <c r="C77" s="61"/>
      <c r="D77" s="60">
        <f>180000-250000</f>
        <v>-70000</v>
      </c>
      <c r="E77" s="60">
        <f t="shared" ref="E77:N77" si="72">180000-250000</f>
        <v>-70000</v>
      </c>
      <c r="F77" s="60">
        <f t="shared" si="72"/>
        <v>-70000</v>
      </c>
      <c r="G77" s="60">
        <f t="shared" si="72"/>
        <v>-70000</v>
      </c>
      <c r="H77" s="60">
        <f t="shared" si="72"/>
        <v>-70000</v>
      </c>
      <c r="I77" s="60">
        <f t="shared" si="72"/>
        <v>-70000</v>
      </c>
      <c r="J77" s="60">
        <f t="shared" si="72"/>
        <v>-70000</v>
      </c>
      <c r="K77" s="60">
        <f t="shared" si="72"/>
        <v>-70000</v>
      </c>
      <c r="L77" s="60">
        <f t="shared" si="72"/>
        <v>-70000</v>
      </c>
      <c r="M77" s="60">
        <f t="shared" si="72"/>
        <v>-70000</v>
      </c>
      <c r="N77" s="60">
        <f t="shared" si="72"/>
        <v>-70000</v>
      </c>
      <c r="O77" s="37"/>
    </row>
    <row r="78" spans="1:15" s="44" customFormat="1" ht="16" customHeight="1">
      <c r="A78" s="37"/>
      <c r="B78" s="72" t="s">
        <v>233</v>
      </c>
      <c r="C78" s="61"/>
      <c r="D78" s="60">
        <v>50000</v>
      </c>
      <c r="E78" s="60">
        <v>50000</v>
      </c>
      <c r="F78" s="60">
        <v>50000</v>
      </c>
      <c r="G78" s="60">
        <v>50000</v>
      </c>
      <c r="H78" s="60">
        <v>50000</v>
      </c>
      <c r="I78" s="60">
        <v>50000</v>
      </c>
      <c r="J78" s="60">
        <v>50000</v>
      </c>
      <c r="K78" s="60">
        <v>50000</v>
      </c>
      <c r="L78" s="60">
        <v>50000</v>
      </c>
      <c r="M78" s="60">
        <v>50000</v>
      </c>
      <c r="N78" s="60">
        <v>50000</v>
      </c>
      <c r="O78" s="95"/>
    </row>
    <row r="79" spans="1:15" s="44" customFormat="1" ht="16" customHeight="1">
      <c r="A79" s="37"/>
      <c r="B79" s="72" t="s">
        <v>232</v>
      </c>
      <c r="C79" s="61"/>
      <c r="D79" s="60">
        <v>50000</v>
      </c>
      <c r="E79" s="60">
        <v>50000</v>
      </c>
      <c r="F79" s="60">
        <v>50000</v>
      </c>
      <c r="G79" s="60">
        <v>50000</v>
      </c>
      <c r="H79" s="60">
        <v>50000</v>
      </c>
      <c r="I79" s="60">
        <v>50000</v>
      </c>
      <c r="J79" s="60">
        <v>50000</v>
      </c>
      <c r="K79" s="60">
        <v>50000</v>
      </c>
      <c r="L79" s="60">
        <v>50000</v>
      </c>
      <c r="M79" s="60">
        <v>50000</v>
      </c>
      <c r="N79" s="60">
        <v>50000</v>
      </c>
      <c r="O79" s="95"/>
    </row>
    <row r="80" spans="1:15" s="44" customFormat="1" ht="16" customHeight="1">
      <c r="A80" s="37"/>
      <c r="B80" s="72" t="s">
        <v>137</v>
      </c>
      <c r="C80" s="61"/>
      <c r="D80" s="60">
        <v>20000</v>
      </c>
      <c r="E80" s="60">
        <v>20000</v>
      </c>
      <c r="F80" s="60">
        <v>20000</v>
      </c>
      <c r="G80" s="60">
        <v>20000</v>
      </c>
      <c r="H80" s="60">
        <v>20000</v>
      </c>
      <c r="I80" s="60">
        <v>20000</v>
      </c>
      <c r="J80" s="60">
        <v>20000</v>
      </c>
      <c r="K80" s="60">
        <v>20000</v>
      </c>
      <c r="L80" s="60">
        <v>20000</v>
      </c>
      <c r="M80" s="60">
        <v>20000</v>
      </c>
      <c r="N80" s="60">
        <v>20000</v>
      </c>
      <c r="O80" s="95"/>
    </row>
    <row r="81" spans="1:16" s="44" customFormat="1" ht="16" customHeight="1">
      <c r="A81" s="37"/>
      <c r="B81" s="72" t="s">
        <v>138</v>
      </c>
      <c r="C81" s="61"/>
      <c r="D81" s="60">
        <v>48000</v>
      </c>
      <c r="E81" s="60">
        <v>48000</v>
      </c>
      <c r="F81" s="60">
        <v>48000</v>
      </c>
      <c r="G81" s="60">
        <v>48000</v>
      </c>
      <c r="H81" s="60">
        <v>48000</v>
      </c>
      <c r="I81" s="60">
        <v>48000</v>
      </c>
      <c r="J81" s="60">
        <v>48000</v>
      </c>
      <c r="K81" s="60">
        <v>48000</v>
      </c>
      <c r="L81" s="60">
        <v>48000</v>
      </c>
      <c r="M81" s="60">
        <v>48000</v>
      </c>
      <c r="N81" s="60">
        <v>48000</v>
      </c>
      <c r="O81" s="95"/>
    </row>
    <row r="82" spans="1:16" s="44" customFormat="1" ht="16" customHeight="1">
      <c r="A82" s="37"/>
      <c r="B82" s="72" t="s">
        <v>139</v>
      </c>
      <c r="C82" s="61"/>
      <c r="D82" s="60">
        <v>20000</v>
      </c>
      <c r="E82" s="60">
        <v>20000</v>
      </c>
      <c r="F82" s="60">
        <v>20000</v>
      </c>
      <c r="G82" s="60">
        <v>20000</v>
      </c>
      <c r="H82" s="60">
        <v>20000</v>
      </c>
      <c r="I82" s="60">
        <v>20000</v>
      </c>
      <c r="J82" s="60">
        <v>20000</v>
      </c>
      <c r="K82" s="60">
        <v>20000</v>
      </c>
      <c r="L82" s="60">
        <v>20000</v>
      </c>
      <c r="M82" s="60">
        <v>20000</v>
      </c>
      <c r="N82" s="60">
        <v>20000</v>
      </c>
      <c r="O82" s="95"/>
    </row>
    <row r="83" spans="1:16" s="44" customFormat="1" ht="16" customHeight="1">
      <c r="A83" s="37"/>
      <c r="B83" s="97" t="s">
        <v>108</v>
      </c>
      <c r="C83" s="61"/>
      <c r="D83" s="98">
        <f t="shared" ref="D83:N83" si="73">SUM(D75:D82)</f>
        <v>-36000</v>
      </c>
      <c r="E83" s="98">
        <f t="shared" si="73"/>
        <v>-36000</v>
      </c>
      <c r="F83" s="98">
        <f t="shared" si="73"/>
        <v>-36000</v>
      </c>
      <c r="G83" s="98">
        <f t="shared" si="73"/>
        <v>-36000</v>
      </c>
      <c r="H83" s="98">
        <f t="shared" si="73"/>
        <v>-36000</v>
      </c>
      <c r="I83" s="98">
        <f t="shared" si="73"/>
        <v>-36000</v>
      </c>
      <c r="J83" s="98">
        <f t="shared" si="73"/>
        <v>-186000</v>
      </c>
      <c r="K83" s="98">
        <f t="shared" si="73"/>
        <v>-186000</v>
      </c>
      <c r="L83" s="98">
        <f t="shared" si="73"/>
        <v>-186000</v>
      </c>
      <c r="M83" s="98">
        <f t="shared" si="73"/>
        <v>-186000</v>
      </c>
      <c r="N83" s="98">
        <f t="shared" si="73"/>
        <v>-186000</v>
      </c>
      <c r="O83" s="37"/>
    </row>
    <row r="84" spans="1:16" s="44" customFormat="1" ht="16" customHeight="1">
      <c r="A84" s="37"/>
      <c r="B84" s="37"/>
      <c r="C84" s="61"/>
      <c r="D84" s="77"/>
      <c r="E84" s="77"/>
      <c r="F84" s="77"/>
      <c r="G84" s="77"/>
      <c r="H84" s="77"/>
      <c r="I84" s="77"/>
      <c r="J84" s="77"/>
      <c r="K84" s="77"/>
      <c r="L84" s="77"/>
      <c r="M84" s="77"/>
      <c r="N84" s="37"/>
      <c r="O84" s="37"/>
    </row>
    <row r="85" spans="1:16" s="44" customFormat="1" ht="16" customHeight="1">
      <c r="A85" s="37"/>
      <c r="B85" s="38" t="s">
        <v>30</v>
      </c>
      <c r="C85" s="54"/>
      <c r="D85" s="39"/>
      <c r="E85" s="39"/>
      <c r="F85" s="39"/>
      <c r="G85" s="40"/>
      <c r="H85" s="40"/>
      <c r="I85" s="40"/>
      <c r="J85" s="40"/>
      <c r="K85" s="40"/>
      <c r="L85" s="40"/>
      <c r="M85" s="40"/>
      <c r="N85" s="90"/>
      <c r="O85" s="90"/>
    </row>
    <row r="86" spans="1:16" s="44" customFormat="1" ht="16" customHeight="1">
      <c r="A86" s="37"/>
      <c r="B86" s="45" t="str">
        <f>$B$10</f>
        <v xml:space="preserve">Fiscal year  </v>
      </c>
      <c r="C86" s="46"/>
      <c r="D86" s="47">
        <f ca="1">D$10</f>
        <v>2016</v>
      </c>
      <c r="E86" s="47">
        <f t="shared" ref="E86:I86" ca="1" si="74">E$10</f>
        <v>2017</v>
      </c>
      <c r="F86" s="47">
        <f t="shared" ca="1" si="74"/>
        <v>2018</v>
      </c>
      <c r="G86" s="47">
        <f t="shared" ca="1" si="74"/>
        <v>2019</v>
      </c>
      <c r="H86" s="47">
        <f t="shared" ca="1" si="74"/>
        <v>2020</v>
      </c>
      <c r="I86" s="47">
        <f t="shared" ca="1" si="74"/>
        <v>2021</v>
      </c>
      <c r="J86" s="48">
        <f ca="1">J$10</f>
        <v>2022</v>
      </c>
      <c r="K86" s="48">
        <f t="shared" ref="K86:N86" ca="1" si="75">K$10</f>
        <v>2023</v>
      </c>
      <c r="L86" s="48">
        <f t="shared" ca="1" si="75"/>
        <v>2024</v>
      </c>
      <c r="M86" s="48">
        <f t="shared" ca="1" si="75"/>
        <v>2025</v>
      </c>
      <c r="N86" s="48">
        <f t="shared" ca="1" si="75"/>
        <v>2026</v>
      </c>
      <c r="O86" s="91"/>
    </row>
    <row r="87" spans="1:16" s="44" customFormat="1" ht="16" customHeight="1">
      <c r="A87" s="37"/>
      <c r="B87" s="51" t="str">
        <f>$B$11</f>
        <v>Fiscal year end date</v>
      </c>
      <c r="C87" s="52"/>
      <c r="D87" s="53">
        <f>D$11</f>
        <v>42460</v>
      </c>
      <c r="E87" s="53">
        <f t="shared" ref="E87:I87" si="76">E$11</f>
        <v>42825</v>
      </c>
      <c r="F87" s="53">
        <f t="shared" si="76"/>
        <v>43190</v>
      </c>
      <c r="G87" s="53">
        <f t="shared" si="76"/>
        <v>43555</v>
      </c>
      <c r="H87" s="53">
        <f t="shared" si="76"/>
        <v>43921</v>
      </c>
      <c r="I87" s="53">
        <f t="shared" si="76"/>
        <v>44286</v>
      </c>
      <c r="J87" s="54">
        <f>J$11</f>
        <v>44651</v>
      </c>
      <c r="K87" s="54">
        <f t="shared" ref="K87:N87" si="77">K$11</f>
        <v>45016</v>
      </c>
      <c r="L87" s="54">
        <f t="shared" si="77"/>
        <v>45382</v>
      </c>
      <c r="M87" s="54">
        <f t="shared" si="77"/>
        <v>45747</v>
      </c>
      <c r="N87" s="54">
        <f t="shared" si="77"/>
        <v>46112</v>
      </c>
      <c r="O87" s="90"/>
    </row>
    <row r="88" spans="1:16" s="44" customFormat="1" ht="16" customHeight="1">
      <c r="A88" s="77"/>
      <c r="B88" s="45" t="s">
        <v>31</v>
      </c>
      <c r="C88" s="99"/>
      <c r="D88" s="100">
        <v>1150000</v>
      </c>
      <c r="E88" s="100">
        <v>1160000</v>
      </c>
      <c r="F88" s="100">
        <v>1140000</v>
      </c>
      <c r="G88" s="100">
        <v>1120000</v>
      </c>
      <c r="H88" s="100">
        <v>1160000</v>
      </c>
      <c r="I88" s="100">
        <f>1180000+1295706</f>
        <v>2475706</v>
      </c>
      <c r="J88" s="101">
        <f ca="1">I88+J241</f>
        <v>3358121.8518856596</v>
      </c>
      <c r="K88" s="101">
        <f ca="1">J88+K241</f>
        <v>2829292.4005853366</v>
      </c>
      <c r="L88" s="101">
        <f ca="1">K88+L241</f>
        <v>1496569.9972086884</v>
      </c>
      <c r="M88" s="101">
        <f ca="1">L88+M241</f>
        <v>1000000</v>
      </c>
      <c r="N88" s="101">
        <f ca="1">M88+N241</f>
        <v>1000000</v>
      </c>
      <c r="O88" s="102"/>
      <c r="P88" s="103"/>
    </row>
    <row r="89" spans="1:16" s="44" customFormat="1" ht="16" customHeight="1">
      <c r="A89" s="77"/>
      <c r="B89" s="104" t="s">
        <v>32</v>
      </c>
      <c r="C89" s="105"/>
      <c r="D89" s="106">
        <v>2740549</v>
      </c>
      <c r="E89" s="96">
        <v>4271175</v>
      </c>
      <c r="F89" s="96">
        <v>4107445</v>
      </c>
      <c r="G89" s="96">
        <v>6599633</v>
      </c>
      <c r="H89" s="96">
        <v>7779558</v>
      </c>
      <c r="I89" s="96">
        <f>9201105+100102</f>
        <v>9301207</v>
      </c>
      <c r="J89" s="77">
        <f ca="1">J123</f>
        <v>10260606.487277912</v>
      </c>
      <c r="K89" s="77">
        <f ca="1">K123</f>
        <v>12345330.301858976</v>
      </c>
      <c r="L89" s="77">
        <f ca="1">L123</f>
        <v>15359777.372925244</v>
      </c>
      <c r="M89" s="77">
        <f ca="1">M123</f>
        <v>18751190.203894567</v>
      </c>
      <c r="N89" s="77">
        <f ca="1">N123</f>
        <v>22587836.735918727</v>
      </c>
      <c r="O89" s="102"/>
      <c r="P89" s="103"/>
    </row>
    <row r="90" spans="1:16" s="44" customFormat="1" ht="16" customHeight="1">
      <c r="A90" s="77"/>
      <c r="B90" s="104" t="s">
        <v>33</v>
      </c>
      <c r="C90" s="105"/>
      <c r="D90" s="106">
        <v>156234</v>
      </c>
      <c r="E90" s="96">
        <v>153789</v>
      </c>
      <c r="F90" s="96">
        <v>209789</v>
      </c>
      <c r="G90" s="96">
        <v>196789</v>
      </c>
      <c r="H90" s="96">
        <v>220369</v>
      </c>
      <c r="I90" s="96">
        <v>225036</v>
      </c>
      <c r="J90" s="77">
        <f ca="1">J165</f>
        <v>268454.5346359766</v>
      </c>
      <c r="K90" s="77">
        <f ca="1">K165</f>
        <v>322998.44119567267</v>
      </c>
      <c r="L90" s="77">
        <f ca="1">L165</f>
        <v>401867.2669957123</v>
      </c>
      <c r="M90" s="77">
        <f ca="1">M165</f>
        <v>490598.87895502493</v>
      </c>
      <c r="N90" s="77">
        <f ca="1">N165</f>
        <v>590979.41304863128</v>
      </c>
      <c r="O90" s="102"/>
      <c r="P90" s="103"/>
    </row>
    <row r="91" spans="1:16" s="44" customFormat="1" ht="16" customHeight="1">
      <c r="A91" s="77"/>
      <c r="B91" s="104" t="s">
        <v>82</v>
      </c>
      <c r="C91" s="105"/>
      <c r="D91" s="106">
        <v>1850237</v>
      </c>
      <c r="E91" s="96">
        <v>3102369</v>
      </c>
      <c r="F91" s="96">
        <v>3169872</v>
      </c>
      <c r="G91" s="96">
        <v>5269321</v>
      </c>
      <c r="H91" s="96">
        <v>6723521</v>
      </c>
      <c r="I91" s="96">
        <v>8228965</v>
      </c>
      <c r="J91" s="77">
        <f ca="1">J131</f>
        <v>9227705.4342252705</v>
      </c>
      <c r="K91" s="77">
        <f ca="1">K131</f>
        <v>11102567.051471839</v>
      </c>
      <c r="L91" s="77">
        <f ca="1">L131</f>
        <v>13813559.784050772</v>
      </c>
      <c r="M91" s="77">
        <f ca="1">M131</f>
        <v>16863570.390035849</v>
      </c>
      <c r="N91" s="77">
        <f ca="1">N131</f>
        <v>20313994.504502907</v>
      </c>
      <c r="O91" s="102"/>
      <c r="P91" s="103"/>
    </row>
    <row r="92" spans="1:16" s="44" customFormat="1" ht="16" customHeight="1">
      <c r="A92" s="77"/>
      <c r="B92" s="104" t="s">
        <v>231</v>
      </c>
      <c r="C92" s="105"/>
      <c r="D92" s="106">
        <v>2496001</v>
      </c>
      <c r="E92" s="96">
        <v>2312533</v>
      </c>
      <c r="F92" s="96">
        <v>2330359</v>
      </c>
      <c r="G92" s="96">
        <v>2417974</v>
      </c>
      <c r="H92" s="96">
        <v>2396971</v>
      </c>
      <c r="I92" s="96">
        <v>2394259</v>
      </c>
      <c r="J92" s="61">
        <f ca="1">J151</f>
        <v>2099655.5098818345</v>
      </c>
      <c r="K92" s="61">
        <f ca="1">K151</f>
        <v>1806009.1017888361</v>
      </c>
      <c r="L92" s="61">
        <f ca="1">L151</f>
        <v>1512362.6936958376</v>
      </c>
      <c r="M92" s="61">
        <f ca="1">M151</f>
        <v>1218716.2856028392</v>
      </c>
      <c r="N92" s="61">
        <f ca="1">N151</f>
        <v>925069.87750984076</v>
      </c>
      <c r="O92" s="102"/>
      <c r="P92" s="103"/>
    </row>
    <row r="93" spans="1:16" s="44" customFormat="1" ht="16" customHeight="1">
      <c r="A93" s="77"/>
      <c r="B93" s="37"/>
      <c r="C93" s="107"/>
      <c r="D93" s="96"/>
      <c r="E93" s="96"/>
      <c r="F93" s="96"/>
      <c r="G93" s="96"/>
      <c r="H93" s="96"/>
      <c r="I93" s="96"/>
      <c r="J93" s="61">
        <f>I93</f>
        <v>0</v>
      </c>
      <c r="K93" s="61">
        <f>J93</f>
        <v>0</v>
      </c>
      <c r="L93" s="61">
        <f>K93</f>
        <v>0</v>
      </c>
      <c r="M93" s="61">
        <f>L93</f>
        <v>0</v>
      </c>
      <c r="N93" s="61">
        <f>M93</f>
        <v>0</v>
      </c>
      <c r="O93" s="102"/>
      <c r="P93" s="108"/>
    </row>
    <row r="94" spans="1:16" s="44" customFormat="1" ht="16" customHeight="1">
      <c r="A94" s="77"/>
      <c r="B94" s="78" t="s">
        <v>34</v>
      </c>
      <c r="C94" s="65"/>
      <c r="D94" s="65">
        <f t="shared" ref="D94:M94" si="78">SUM(D88:D93)</f>
        <v>8393021</v>
      </c>
      <c r="E94" s="65">
        <f t="shared" si="78"/>
        <v>10999866</v>
      </c>
      <c r="F94" s="65">
        <f t="shared" si="78"/>
        <v>10957465</v>
      </c>
      <c r="G94" s="65">
        <f t="shared" si="78"/>
        <v>15603717</v>
      </c>
      <c r="H94" s="65">
        <f t="shared" si="78"/>
        <v>18280419</v>
      </c>
      <c r="I94" s="65">
        <f>SUM(I88:I93)</f>
        <v>22625173</v>
      </c>
      <c r="J94" s="65">
        <f ca="1">SUM(J88:J93)</f>
        <v>25214543.817906652</v>
      </c>
      <c r="K94" s="65">
        <f t="shared" ca="1" si="78"/>
        <v>28406197.296900664</v>
      </c>
      <c r="L94" s="65">
        <f t="shared" ca="1" si="78"/>
        <v>32584137.114876255</v>
      </c>
      <c r="M94" s="65">
        <f t="shared" ca="1" si="78"/>
        <v>38324075.758488283</v>
      </c>
      <c r="N94" s="65">
        <f t="shared" ref="N94" ca="1" si="79">SUM(N88:N93)</f>
        <v>45417880.530980103</v>
      </c>
      <c r="O94" s="102"/>
      <c r="P94" s="108"/>
    </row>
    <row r="95" spans="1:16" s="44" customFormat="1" ht="16" customHeight="1">
      <c r="A95" s="77"/>
      <c r="B95" s="78"/>
      <c r="C95" s="109"/>
      <c r="D95" s="65"/>
      <c r="E95" s="65"/>
      <c r="F95" s="65"/>
      <c r="G95" s="65"/>
      <c r="H95" s="65"/>
      <c r="I95" s="37"/>
      <c r="J95" s="37"/>
      <c r="K95" s="37"/>
      <c r="L95" s="37"/>
      <c r="M95" s="37"/>
      <c r="N95" s="37"/>
      <c r="O95" s="104"/>
      <c r="P95" s="108"/>
    </row>
    <row r="96" spans="1:16" s="44" customFormat="1" ht="16" customHeight="1">
      <c r="A96" s="77"/>
      <c r="B96" s="72" t="s">
        <v>228</v>
      </c>
      <c r="C96" s="84"/>
      <c r="D96" s="96">
        <v>22369</v>
      </c>
      <c r="E96" s="96">
        <v>35269</v>
      </c>
      <c r="F96" s="96">
        <v>36259</v>
      </c>
      <c r="G96" s="96">
        <v>25978</v>
      </c>
      <c r="H96" s="96">
        <v>21569</v>
      </c>
      <c r="I96" s="96">
        <v>26975</v>
      </c>
      <c r="J96" s="61">
        <f ca="1">J250</f>
        <v>0</v>
      </c>
      <c r="K96" s="61">
        <f ca="1">K250</f>
        <v>0</v>
      </c>
      <c r="L96" s="61">
        <f ca="1">L250</f>
        <v>0</v>
      </c>
      <c r="M96" s="61">
        <f ca="1">M250</f>
        <v>796750.74031029083</v>
      </c>
      <c r="N96" s="61">
        <f ca="1">N250</f>
        <v>2081113.9425500715</v>
      </c>
      <c r="O96" s="104"/>
      <c r="P96" s="108"/>
    </row>
    <row r="97" spans="1:17" s="44" customFormat="1" ht="16" customHeight="1">
      <c r="A97" s="77"/>
      <c r="B97" s="72" t="s">
        <v>35</v>
      </c>
      <c r="C97" s="84"/>
      <c r="D97" s="96">
        <v>1302673</v>
      </c>
      <c r="E97" s="96">
        <v>1796741</v>
      </c>
      <c r="F97" s="96">
        <v>1854971</v>
      </c>
      <c r="G97" s="96">
        <v>2926243</v>
      </c>
      <c r="H97" s="96">
        <v>3071491</v>
      </c>
      <c r="I97" s="96">
        <v>3604071</v>
      </c>
      <c r="J97" s="77">
        <f ca="1">J139</f>
        <v>4299441.9389382862</v>
      </c>
      <c r="K97" s="77">
        <f ca="1">K139</f>
        <v>5172991.5688384864</v>
      </c>
      <c r="L97" s="77">
        <f ca="1">L139</f>
        <v>6436117.6984802</v>
      </c>
      <c r="M97" s="77">
        <f ca="1">M139</f>
        <v>7857201.5862408383</v>
      </c>
      <c r="N97" s="77">
        <f ca="1">N139</f>
        <v>9464849.148314232</v>
      </c>
      <c r="P97" s="103"/>
    </row>
    <row r="98" spans="1:17" s="44" customFormat="1" ht="16" customHeight="1">
      <c r="A98" s="77"/>
      <c r="B98" s="72" t="s">
        <v>133</v>
      </c>
      <c r="C98" s="84"/>
      <c r="D98" s="96">
        <v>296487</v>
      </c>
      <c r="E98" s="96">
        <v>269756</v>
      </c>
      <c r="F98" s="96">
        <v>369875</v>
      </c>
      <c r="G98" s="96">
        <v>436001</v>
      </c>
      <c r="H98" s="96">
        <v>698302</v>
      </c>
      <c r="I98" s="96">
        <v>729268</v>
      </c>
      <c r="J98" s="61">
        <f ca="1">J170</f>
        <v>869973.25567868864</v>
      </c>
      <c r="K98" s="61">
        <f ca="1">K170</f>
        <v>1046732.1993542624</v>
      </c>
      <c r="L98" s="61">
        <f ca="1">L170</f>
        <v>1302320.242394235</v>
      </c>
      <c r="M98" s="61">
        <f ca="1">M170</f>
        <v>1589870.3463346888</v>
      </c>
      <c r="N98" s="61">
        <f ca="1">N170</f>
        <v>1915170.7930959896</v>
      </c>
      <c r="O98" s="104"/>
      <c r="P98" s="103"/>
    </row>
    <row r="99" spans="1:17" s="44" customFormat="1" ht="16" customHeight="1">
      <c r="A99" s="77"/>
      <c r="B99" s="72" t="s">
        <v>86</v>
      </c>
      <c r="C99" s="84"/>
      <c r="D99" s="96">
        <v>2206973</v>
      </c>
      <c r="E99" s="96">
        <f>2901354-183468</f>
        <v>2717886</v>
      </c>
      <c r="F99" s="96">
        <f>2901354-165642</f>
        <v>2735712</v>
      </c>
      <c r="G99" s="96">
        <f>1541393-78027</f>
        <v>1463366</v>
      </c>
      <c r="H99" s="96">
        <f>486495-99030</f>
        <v>387465</v>
      </c>
      <c r="I99" s="96">
        <v>177177</v>
      </c>
      <c r="J99" s="61">
        <f>J181</f>
        <v>177177</v>
      </c>
      <c r="K99" s="61">
        <f t="shared" ref="K99:N99" si="80">K181</f>
        <v>177177</v>
      </c>
      <c r="L99" s="61">
        <f t="shared" si="80"/>
        <v>177177</v>
      </c>
      <c r="M99" s="61">
        <f t="shared" si="80"/>
        <v>177177</v>
      </c>
      <c r="N99" s="61">
        <f t="shared" si="80"/>
        <v>177177</v>
      </c>
      <c r="O99" s="110"/>
      <c r="P99" s="103"/>
    </row>
    <row r="100" spans="1:17" s="44" customFormat="1" ht="16" customHeight="1">
      <c r="A100" s="77"/>
      <c r="B100" s="78" t="s">
        <v>36</v>
      </c>
      <c r="C100" s="84"/>
      <c r="D100" s="65">
        <f>SUM(D96:D99)</f>
        <v>3828502</v>
      </c>
      <c r="E100" s="65">
        <f>SUM(E96:E99)</f>
        <v>4819652</v>
      </c>
      <c r="F100" s="65">
        <f>SUM(F96:F99)-2507853</f>
        <v>2488964</v>
      </c>
      <c r="G100" s="65">
        <f t="shared" ref="G100:N100" si="81">SUM(G96:G99)</f>
        <v>4851588</v>
      </c>
      <c r="H100" s="65">
        <f t="shared" si="81"/>
        <v>4178827</v>
      </c>
      <c r="I100" s="65">
        <f t="shared" si="81"/>
        <v>4537491</v>
      </c>
      <c r="J100" s="65">
        <f t="shared" ca="1" si="81"/>
        <v>5346592.1946169753</v>
      </c>
      <c r="K100" s="65">
        <f t="shared" ca="1" si="81"/>
        <v>6396900.7681927485</v>
      </c>
      <c r="L100" s="65">
        <f t="shared" ca="1" si="81"/>
        <v>7915614.940874435</v>
      </c>
      <c r="M100" s="65">
        <f t="shared" ca="1" si="81"/>
        <v>10420999.672885817</v>
      </c>
      <c r="N100" s="65">
        <f t="shared" ca="1" si="81"/>
        <v>13638310.883960294</v>
      </c>
      <c r="O100" s="104"/>
      <c r="P100" s="108"/>
    </row>
    <row r="101" spans="1:17" s="44" customFormat="1" ht="16" customHeight="1">
      <c r="A101" s="77"/>
      <c r="B101" s="78"/>
      <c r="C101" s="109"/>
      <c r="D101" s="65"/>
      <c r="E101" s="65"/>
      <c r="F101" s="65"/>
      <c r="G101" s="65"/>
      <c r="H101" s="65"/>
      <c r="I101" s="37"/>
      <c r="J101" s="37"/>
      <c r="K101" s="37"/>
      <c r="L101" s="37"/>
      <c r="M101" s="37"/>
      <c r="N101" s="37"/>
      <c r="O101" s="104"/>
      <c r="P101" s="108"/>
    </row>
    <row r="102" spans="1:17" s="44" customFormat="1" ht="16" customHeight="1">
      <c r="A102" s="77"/>
      <c r="B102" s="72" t="s">
        <v>37</v>
      </c>
      <c r="C102" s="59"/>
      <c r="D102" s="60">
        <v>500000</v>
      </c>
      <c r="E102" s="60">
        <v>500000</v>
      </c>
      <c r="F102" s="60">
        <v>500000</v>
      </c>
      <c r="G102" s="60">
        <v>500000</v>
      </c>
      <c r="H102" s="60">
        <v>500000</v>
      </c>
      <c r="I102" s="96">
        <v>500000</v>
      </c>
      <c r="J102" s="77">
        <f>J193</f>
        <v>500000</v>
      </c>
      <c r="K102" s="77">
        <f>K193</f>
        <v>500000</v>
      </c>
      <c r="L102" s="77">
        <f>L193</f>
        <v>500000</v>
      </c>
      <c r="M102" s="77">
        <f>M193</f>
        <v>500000</v>
      </c>
      <c r="N102" s="77">
        <f>N193</f>
        <v>500000</v>
      </c>
      <c r="O102" s="104"/>
      <c r="P102" s="108"/>
    </row>
    <row r="103" spans="1:17" s="44" customFormat="1" ht="16" customHeight="1">
      <c r="A103" s="77"/>
      <c r="B103" s="72" t="s">
        <v>38</v>
      </c>
      <c r="C103" s="59"/>
      <c r="D103" s="60">
        <v>3064519</v>
      </c>
      <c r="E103" s="96">
        <v>4680214</v>
      </c>
      <c r="F103" s="96">
        <v>6968501</v>
      </c>
      <c r="G103" s="96">
        <v>9252129</v>
      </c>
      <c r="H103" s="96">
        <v>12601592</v>
      </c>
      <c r="I103" s="96">
        <v>16587682</v>
      </c>
      <c r="J103" s="77">
        <f ca="1">J212</f>
        <v>18367951.623289678</v>
      </c>
      <c r="K103" s="77">
        <f ca="1">K212</f>
        <v>20509296.528707914</v>
      </c>
      <c r="L103" s="77">
        <f ca="1">L212</f>
        <v>23168522.17400182</v>
      </c>
      <c r="M103" s="77">
        <f ca="1">M212</f>
        <v>26403076.085602462</v>
      </c>
      <c r="N103" s="77">
        <f ca="1">N212</f>
        <v>30279569.647019815</v>
      </c>
      <c r="O103" s="111"/>
      <c r="P103" s="103"/>
    </row>
    <row r="104" spans="1:17" s="44" customFormat="1" ht="16" customHeight="1">
      <c r="A104" s="77"/>
      <c r="B104" s="72" t="s">
        <v>39</v>
      </c>
      <c r="C104" s="59"/>
      <c r="D104" s="60">
        <v>1000000</v>
      </c>
      <c r="E104" s="60">
        <v>1000000</v>
      </c>
      <c r="F104" s="60">
        <v>1000000</v>
      </c>
      <c r="G104" s="60">
        <v>1000000</v>
      </c>
      <c r="H104" s="60">
        <v>1000000</v>
      </c>
      <c r="I104" s="60">
        <v>1000000</v>
      </c>
      <c r="J104" s="77">
        <f>J200</f>
        <v>1000000</v>
      </c>
      <c r="K104" s="77">
        <f>K200</f>
        <v>1000000</v>
      </c>
      <c r="L104" s="77">
        <f>L200</f>
        <v>1000000</v>
      </c>
      <c r="M104" s="77">
        <f>M200</f>
        <v>1000000</v>
      </c>
      <c r="N104" s="77">
        <f>N200</f>
        <v>1000000</v>
      </c>
      <c r="O104" s="104"/>
      <c r="P104" s="108"/>
    </row>
    <row r="105" spans="1:17" s="44" customFormat="1" ht="16" customHeight="1">
      <c r="A105" s="77"/>
      <c r="B105" s="78" t="s">
        <v>40</v>
      </c>
      <c r="C105" s="65"/>
      <c r="D105" s="65">
        <f t="shared" ref="D105:M105" si="82">SUM(D102:D104)</f>
        <v>4564519</v>
      </c>
      <c r="E105" s="65">
        <f t="shared" si="82"/>
        <v>6180214</v>
      </c>
      <c r="F105" s="65">
        <f t="shared" si="82"/>
        <v>8468501</v>
      </c>
      <c r="G105" s="65">
        <f t="shared" si="82"/>
        <v>10752129</v>
      </c>
      <c r="H105" s="65">
        <f t="shared" si="82"/>
        <v>14101592</v>
      </c>
      <c r="I105" s="65">
        <f t="shared" si="82"/>
        <v>18087682</v>
      </c>
      <c r="J105" s="65">
        <f t="shared" ref="J105" ca="1" si="83">SUM(J102:J104)</f>
        <v>19867951.623289678</v>
      </c>
      <c r="K105" s="65">
        <f t="shared" ca="1" si="82"/>
        <v>22009296.528707914</v>
      </c>
      <c r="L105" s="65">
        <f t="shared" ca="1" si="82"/>
        <v>24668522.17400182</v>
      </c>
      <c r="M105" s="65">
        <f t="shared" ca="1" si="82"/>
        <v>27903076.085602462</v>
      </c>
      <c r="N105" s="65">
        <f t="shared" ref="N105" ca="1" si="84">SUM(N102:N104)</f>
        <v>31779569.647019815</v>
      </c>
      <c r="O105" s="104"/>
      <c r="P105" s="108"/>
    </row>
    <row r="106" spans="1:17" s="44" customFormat="1" ht="16" customHeight="1">
      <c r="A106" s="37"/>
      <c r="B106" s="37"/>
      <c r="C106" s="87"/>
      <c r="D106" s="77"/>
      <c r="E106" s="77"/>
      <c r="F106" s="77"/>
      <c r="G106" s="77"/>
      <c r="H106" s="77"/>
      <c r="I106" s="77"/>
      <c r="J106" s="77"/>
      <c r="K106" s="77"/>
      <c r="L106" s="77"/>
      <c r="M106" s="77"/>
      <c r="N106" s="77"/>
      <c r="O106" s="104"/>
      <c r="P106" s="108"/>
    </row>
    <row r="107" spans="1:17" s="44" customFormat="1" ht="16" customHeight="1">
      <c r="A107" s="112"/>
      <c r="B107" s="113" t="s">
        <v>41</v>
      </c>
      <c r="C107" s="112"/>
      <c r="D107" s="114">
        <f t="shared" ref="D107:N107" si="85">D94-D100-D105</f>
        <v>0</v>
      </c>
      <c r="E107" s="114">
        <f t="shared" si="85"/>
        <v>0</v>
      </c>
      <c r="F107" s="114">
        <f t="shared" si="85"/>
        <v>0</v>
      </c>
      <c r="G107" s="114">
        <f t="shared" si="85"/>
        <v>0</v>
      </c>
      <c r="H107" s="114">
        <f t="shared" si="85"/>
        <v>0</v>
      </c>
      <c r="I107" s="114">
        <f t="shared" si="85"/>
        <v>0</v>
      </c>
      <c r="J107" s="114">
        <f t="shared" ca="1" si="85"/>
        <v>0</v>
      </c>
      <c r="K107" s="114">
        <f t="shared" ca="1" si="85"/>
        <v>0</v>
      </c>
      <c r="L107" s="114">
        <f t="shared" ca="1" si="85"/>
        <v>0</v>
      </c>
      <c r="M107" s="114">
        <f t="shared" ca="1" si="85"/>
        <v>0</v>
      </c>
      <c r="N107" s="114">
        <f t="shared" ca="1" si="85"/>
        <v>0</v>
      </c>
      <c r="O107" s="104"/>
      <c r="P107" s="108"/>
      <c r="Q107" s="115"/>
    </row>
    <row r="108" spans="1:17" s="44" customFormat="1" ht="16" customHeight="1">
      <c r="A108" s="37"/>
      <c r="B108" s="37"/>
      <c r="C108" s="73"/>
      <c r="D108" s="73"/>
      <c r="E108" s="73"/>
      <c r="F108" s="37"/>
      <c r="G108" s="37"/>
      <c r="H108" s="37"/>
      <c r="I108" s="37"/>
      <c r="J108" s="37"/>
      <c r="K108" s="37"/>
      <c r="L108" s="112"/>
      <c r="M108" s="112"/>
      <c r="N108" s="112"/>
      <c r="O108" s="37"/>
    </row>
    <row r="109" spans="1:17" s="44" customFormat="1" ht="16" customHeight="1">
      <c r="A109" s="37"/>
      <c r="B109" s="64" t="s">
        <v>42</v>
      </c>
      <c r="C109" s="73"/>
      <c r="D109" s="73"/>
      <c r="E109" s="65"/>
      <c r="F109" s="37"/>
      <c r="G109" s="37"/>
      <c r="H109" s="37"/>
      <c r="I109" s="37"/>
      <c r="J109" s="37"/>
      <c r="K109" s="37"/>
      <c r="L109" s="37"/>
      <c r="M109" s="37"/>
      <c r="N109" s="37"/>
      <c r="O109" s="37"/>
    </row>
    <row r="110" spans="1:17" s="44" customFormat="1" ht="16" customHeight="1">
      <c r="A110" s="37"/>
      <c r="B110" s="37" t="s">
        <v>224</v>
      </c>
      <c r="C110" s="77"/>
      <c r="D110" s="77">
        <f t="shared" ref="D110:N110" si="86">D96-D88</f>
        <v>-1127631</v>
      </c>
      <c r="E110" s="77">
        <f t="shared" si="86"/>
        <v>-1124731</v>
      </c>
      <c r="F110" s="77">
        <f t="shared" si="86"/>
        <v>-1103741</v>
      </c>
      <c r="G110" s="77">
        <f t="shared" si="86"/>
        <v>-1094022</v>
      </c>
      <c r="H110" s="77">
        <f t="shared" si="86"/>
        <v>-1138431</v>
      </c>
      <c r="I110" s="77">
        <f t="shared" si="86"/>
        <v>-2448731</v>
      </c>
      <c r="J110" s="77">
        <f t="shared" ca="1" si="86"/>
        <v>-3358121.8518856596</v>
      </c>
      <c r="K110" s="77">
        <f t="shared" ca="1" si="86"/>
        <v>-2829292.4005853366</v>
      </c>
      <c r="L110" s="77">
        <f t="shared" ca="1" si="86"/>
        <v>-1496569.9972086884</v>
      </c>
      <c r="M110" s="77">
        <f t="shared" ca="1" si="86"/>
        <v>-203249.25968970917</v>
      </c>
      <c r="N110" s="77">
        <f t="shared" ca="1" si="86"/>
        <v>1081113.9425500715</v>
      </c>
      <c r="O110" s="37"/>
    </row>
    <row r="111" spans="1:17" s="44" customFormat="1" ht="16" customHeight="1">
      <c r="A111" s="37"/>
      <c r="B111" s="37" t="s">
        <v>43</v>
      </c>
      <c r="C111" s="116"/>
      <c r="D111" s="116">
        <f t="shared" ref="D111:N111" si="87">D13/D94</f>
        <v>2.3357096330391642</v>
      </c>
      <c r="E111" s="116">
        <f t="shared" si="87"/>
        <v>2.5704412217385193</v>
      </c>
      <c r="F111" s="116">
        <f t="shared" si="87"/>
        <v>2.6207063403807358</v>
      </c>
      <c r="G111" s="116">
        <f t="shared" si="87"/>
        <v>2.7342340930689786</v>
      </c>
      <c r="H111" s="116">
        <f t="shared" si="87"/>
        <v>2.8006501382709006</v>
      </c>
      <c r="I111" s="116">
        <f t="shared" si="87"/>
        <v>2.534376422226694</v>
      </c>
      <c r="J111" s="116">
        <f t="shared" ca="1" si="87"/>
        <v>2.7128804606784445</v>
      </c>
      <c r="K111" s="116">
        <f t="shared" ca="1" si="87"/>
        <v>2.8973326190821389</v>
      </c>
      <c r="L111" s="116">
        <f t="shared" ca="1" si="87"/>
        <v>3.1425879242556864</v>
      </c>
      <c r="M111" s="116">
        <f t="shared" ca="1" si="87"/>
        <v>3.2618643037971458</v>
      </c>
      <c r="N111" s="116">
        <f t="shared" ca="1" si="87"/>
        <v>3.3155571435514668</v>
      </c>
      <c r="O111" s="37"/>
    </row>
    <row r="112" spans="1:17" s="44" customFormat="1" ht="16" customHeight="1">
      <c r="A112" s="37"/>
      <c r="B112" s="37" t="s">
        <v>44</v>
      </c>
      <c r="C112" s="73"/>
      <c r="D112" s="73">
        <f t="shared" ref="D112:N112" si="88">D24/D13</f>
        <v>4.8250106765777422E-2</v>
      </c>
      <c r="E112" s="73">
        <f t="shared" si="88"/>
        <v>5.089096327720493E-2</v>
      </c>
      <c r="F112" s="73">
        <f t="shared" si="88"/>
        <v>5.0087182630574448E-2</v>
      </c>
      <c r="G112" s="73">
        <f t="shared" si="88"/>
        <v>5.5235171958513699E-2</v>
      </c>
      <c r="H112" s="73">
        <f t="shared" si="88"/>
        <v>5.7162164872833127E-2</v>
      </c>
      <c r="I112" s="73">
        <f t="shared" si="88"/>
        <v>5.7849490409997588E-2</v>
      </c>
      <c r="J112" s="73">
        <f t="shared" ca="1" si="88"/>
        <v>5.7835100537089026E-2</v>
      </c>
      <c r="K112" s="73">
        <f t="shared" ca="1" si="88"/>
        <v>5.7817945545930755E-2</v>
      </c>
      <c r="L112" s="73">
        <f t="shared" ca="1" si="88"/>
        <v>5.7709726313727665E-2</v>
      </c>
      <c r="M112" s="73">
        <f t="shared" ca="1" si="88"/>
        <v>5.7499530721856713E-2</v>
      </c>
      <c r="N112" s="73">
        <f t="shared" ca="1" si="88"/>
        <v>5.720620950025182E-2</v>
      </c>
      <c r="O112" s="37"/>
    </row>
    <row r="113" spans="1:15" s="44" customFormat="1" ht="16" customHeight="1">
      <c r="A113" s="37"/>
      <c r="B113" s="37" t="s">
        <v>45</v>
      </c>
      <c r="C113" s="73"/>
      <c r="D113" s="73">
        <f t="shared" ref="D113:N113" si="89">D24/D94</f>
        <v>0.11269823916799449</v>
      </c>
      <c r="E113" s="73">
        <f t="shared" si="89"/>
        <v>0.13081222982170876</v>
      </c>
      <c r="F113" s="73">
        <f t="shared" si="89"/>
        <v>0.13126379709175434</v>
      </c>
      <c r="G113" s="73">
        <f t="shared" si="89"/>
        <v>0.15102589030549576</v>
      </c>
      <c r="H113" s="73">
        <f t="shared" si="89"/>
        <v>0.16009122495496411</v>
      </c>
      <c r="I113" s="73">
        <f t="shared" si="89"/>
        <v>0.14661238453292713</v>
      </c>
      <c r="J113" s="73">
        <f t="shared" ca="1" si="89"/>
        <v>0.15689971418844223</v>
      </c>
      <c r="K113" s="73">
        <f t="shared" ca="1" si="89"/>
        <v>0.16751781959854004</v>
      </c>
      <c r="L113" s="73">
        <f t="shared" ca="1" si="89"/>
        <v>0.18135788902562119</v>
      </c>
      <c r="M113" s="73">
        <f t="shared" ca="1" si="89"/>
        <v>0.18755566674671173</v>
      </c>
      <c r="N113" s="73">
        <f t="shared" ca="1" si="89"/>
        <v>0.18967045656406173</v>
      </c>
      <c r="O113" s="37"/>
    </row>
    <row r="114" spans="1:15" s="44" customFormat="1" ht="16" customHeight="1">
      <c r="A114" s="37"/>
      <c r="B114" s="37" t="s">
        <v>46</v>
      </c>
      <c r="C114" s="73"/>
      <c r="D114" s="73">
        <f t="shared" ref="D114:N114" si="90">D24/D105</f>
        <v>0.20722417586606612</v>
      </c>
      <c r="E114" s="73">
        <f t="shared" si="90"/>
        <v>0.23282640361644438</v>
      </c>
      <c r="F114" s="73">
        <f t="shared" si="90"/>
        <v>0.16984333619373723</v>
      </c>
      <c r="G114" s="73">
        <f t="shared" si="90"/>
        <v>0.2191719660357497</v>
      </c>
      <c r="H114" s="73">
        <f t="shared" si="90"/>
        <v>0.20753221837647837</v>
      </c>
      <c r="I114" s="73">
        <f t="shared" si="90"/>
        <v>0.18339168965929414</v>
      </c>
      <c r="J114" s="73">
        <f t="shared" ca="1" si="90"/>
        <v>0.19912242557426049</v>
      </c>
      <c r="K114" s="73">
        <f t="shared" ca="1" si="90"/>
        <v>0.21620610309175103</v>
      </c>
      <c r="L114" s="73">
        <f t="shared" ca="1" si="90"/>
        <v>0.23955185808022439</v>
      </c>
      <c r="M114" s="73">
        <f t="shared" ca="1" si="90"/>
        <v>0.25760233600350613</v>
      </c>
      <c r="N114" s="73">
        <f t="shared" ca="1" si="90"/>
        <v>0.27106818097805296</v>
      </c>
      <c r="O114" s="37"/>
    </row>
    <row r="115" spans="1:15" s="44" customFormat="1" ht="16" customHeight="1">
      <c r="A115" s="37"/>
      <c r="B115" s="37"/>
      <c r="C115" s="37"/>
      <c r="D115" s="37"/>
      <c r="E115" s="37"/>
      <c r="F115" s="37"/>
      <c r="G115" s="37"/>
      <c r="H115" s="37"/>
      <c r="I115" s="37"/>
      <c r="J115" s="37"/>
      <c r="K115" s="37"/>
      <c r="L115" s="37"/>
      <c r="M115" s="37"/>
      <c r="N115" s="37"/>
      <c r="O115" s="37"/>
    </row>
    <row r="116" spans="1:15" s="44" customFormat="1" ht="16" customHeight="1">
      <c r="A116" s="37"/>
      <c r="B116" s="38" t="s">
        <v>47</v>
      </c>
      <c r="C116" s="54"/>
      <c r="D116" s="39"/>
      <c r="E116" s="39"/>
      <c r="F116" s="39"/>
      <c r="G116" s="40"/>
      <c r="H116" s="40"/>
      <c r="I116" s="40"/>
      <c r="J116" s="40"/>
      <c r="K116" s="40"/>
      <c r="L116" s="40"/>
      <c r="M116" s="40"/>
      <c r="N116" s="37"/>
      <c r="O116" s="37"/>
    </row>
    <row r="117" spans="1:15" s="44" customFormat="1" ht="16" customHeight="1">
      <c r="A117" s="37"/>
      <c r="B117" s="45" t="str">
        <f>$B$10</f>
        <v xml:space="preserve">Fiscal year  </v>
      </c>
      <c r="C117" s="46"/>
      <c r="D117" s="47">
        <f ca="1">D$10</f>
        <v>2016</v>
      </c>
      <c r="E117" s="47">
        <f t="shared" ref="E117:I117" ca="1" si="91">E$10</f>
        <v>2017</v>
      </c>
      <c r="F117" s="47">
        <f t="shared" ca="1" si="91"/>
        <v>2018</v>
      </c>
      <c r="G117" s="47">
        <f t="shared" ca="1" si="91"/>
        <v>2019</v>
      </c>
      <c r="H117" s="47">
        <f t="shared" ca="1" si="91"/>
        <v>2020</v>
      </c>
      <c r="I117" s="47">
        <f t="shared" ca="1" si="91"/>
        <v>2021</v>
      </c>
      <c r="J117" s="48">
        <f ca="1">J$10</f>
        <v>2022</v>
      </c>
      <c r="K117" s="48">
        <f t="shared" ref="K117:N117" ca="1" si="92">K$10</f>
        <v>2023</v>
      </c>
      <c r="L117" s="48">
        <f t="shared" ca="1" si="92"/>
        <v>2024</v>
      </c>
      <c r="M117" s="48">
        <f t="shared" ca="1" si="92"/>
        <v>2025</v>
      </c>
      <c r="N117" s="48">
        <f t="shared" ca="1" si="92"/>
        <v>2026</v>
      </c>
      <c r="O117" s="37"/>
    </row>
    <row r="118" spans="1:15" s="44" customFormat="1" ht="16" customHeight="1">
      <c r="A118" s="37"/>
      <c r="B118" s="51" t="str">
        <f>$B$11</f>
        <v>Fiscal year end date</v>
      </c>
      <c r="C118" s="52"/>
      <c r="D118" s="53">
        <f>D$11</f>
        <v>42460</v>
      </c>
      <c r="E118" s="53">
        <f t="shared" ref="E118:I118" si="93">E$11</f>
        <v>42825</v>
      </c>
      <c r="F118" s="53">
        <f t="shared" si="93"/>
        <v>43190</v>
      </c>
      <c r="G118" s="53">
        <f t="shared" si="93"/>
        <v>43555</v>
      </c>
      <c r="H118" s="53">
        <f t="shared" si="93"/>
        <v>43921</v>
      </c>
      <c r="I118" s="53">
        <f t="shared" si="93"/>
        <v>44286</v>
      </c>
      <c r="J118" s="54">
        <f>J$11</f>
        <v>44651</v>
      </c>
      <c r="K118" s="54">
        <f t="shared" ref="K118:N118" si="94">K$11</f>
        <v>45016</v>
      </c>
      <c r="L118" s="54">
        <f t="shared" si="94"/>
        <v>45382</v>
      </c>
      <c r="M118" s="54">
        <f t="shared" si="94"/>
        <v>45747</v>
      </c>
      <c r="N118" s="54">
        <f t="shared" si="94"/>
        <v>46112</v>
      </c>
      <c r="O118" s="37"/>
    </row>
    <row r="119" spans="1:15" s="44" customFormat="1" ht="16" customHeight="1">
      <c r="A119" s="37"/>
      <c r="B119" s="45"/>
      <c r="C119" s="117"/>
      <c r="D119" s="58"/>
      <c r="E119" s="45"/>
      <c r="F119" s="45"/>
      <c r="G119" s="45"/>
      <c r="H119" s="45"/>
      <c r="I119" s="45"/>
      <c r="J119" s="45"/>
      <c r="K119" s="45"/>
      <c r="L119" s="45"/>
      <c r="M119" s="45"/>
      <c r="N119" s="37"/>
      <c r="O119" s="37"/>
    </row>
    <row r="120" spans="1:15" s="44" customFormat="1" ht="16" customHeight="1">
      <c r="A120" s="37"/>
      <c r="B120" s="64" t="s">
        <v>32</v>
      </c>
      <c r="C120" s="64"/>
      <c r="D120" s="64"/>
      <c r="E120" s="64"/>
      <c r="F120" s="37"/>
      <c r="G120" s="37"/>
      <c r="H120" s="37"/>
      <c r="I120" s="37"/>
      <c r="J120" s="37"/>
      <c r="K120" s="37"/>
      <c r="L120" s="37"/>
      <c r="M120" s="37"/>
      <c r="N120" s="37"/>
      <c r="O120" s="37"/>
    </row>
    <row r="121" spans="1:15" s="44" customFormat="1" ht="16" customHeight="1">
      <c r="A121" s="37"/>
      <c r="B121" s="72" t="s">
        <v>48</v>
      </c>
      <c r="C121" s="37"/>
      <c r="D121" s="37"/>
      <c r="E121" s="37"/>
      <c r="F121" s="77"/>
      <c r="G121" s="77"/>
      <c r="H121" s="77"/>
      <c r="I121" s="77"/>
      <c r="J121" s="77">
        <f>I123</f>
        <v>9301207</v>
      </c>
      <c r="K121" s="77">
        <f ca="1">J123</f>
        <v>10260606.487277912</v>
      </c>
      <c r="L121" s="77">
        <f ca="1">K123</f>
        <v>12345330.301858976</v>
      </c>
      <c r="M121" s="77">
        <f ca="1">L123</f>
        <v>15359777.372925244</v>
      </c>
      <c r="N121" s="77">
        <f ca="1">M123</f>
        <v>18751190.203894567</v>
      </c>
      <c r="O121" s="37"/>
    </row>
    <row r="122" spans="1:15" s="44" customFormat="1" ht="16" customHeight="1">
      <c r="A122" s="37"/>
      <c r="B122" s="72" t="s">
        <v>49</v>
      </c>
      <c r="C122" s="37"/>
      <c r="D122" s="37"/>
      <c r="E122" s="37"/>
      <c r="F122" s="77"/>
      <c r="G122" s="77"/>
      <c r="H122" s="77"/>
      <c r="I122" s="77"/>
      <c r="J122" s="77">
        <f ca="1">J123-J121</f>
        <v>959399.48727791198</v>
      </c>
      <c r="K122" s="77">
        <f ca="1">K123-K121</f>
        <v>2084723.8145810645</v>
      </c>
      <c r="L122" s="77">
        <f ca="1">L123-L121</f>
        <v>3014447.0710662678</v>
      </c>
      <c r="M122" s="77">
        <f ca="1">M123-M121</f>
        <v>3391412.8309693225</v>
      </c>
      <c r="N122" s="77">
        <f ca="1">N123-N121</f>
        <v>3836646.53202416</v>
      </c>
      <c r="O122" s="37"/>
    </row>
    <row r="123" spans="1:15" s="44" customFormat="1" ht="16" customHeight="1">
      <c r="A123" s="37"/>
      <c r="B123" s="72" t="s">
        <v>50</v>
      </c>
      <c r="C123" s="77"/>
      <c r="D123" s="77">
        <f t="shared" ref="D123:I123" si="95">D89</f>
        <v>2740549</v>
      </c>
      <c r="E123" s="77">
        <f t="shared" si="95"/>
        <v>4271175</v>
      </c>
      <c r="F123" s="77">
        <f t="shared" si="95"/>
        <v>4107445</v>
      </c>
      <c r="G123" s="77">
        <f t="shared" si="95"/>
        <v>6599633</v>
      </c>
      <c r="H123" s="77">
        <f t="shared" si="95"/>
        <v>7779558</v>
      </c>
      <c r="I123" s="77">
        <f t="shared" si="95"/>
        <v>9301207</v>
      </c>
      <c r="J123" s="77">
        <f ca="1">J125*J13</f>
        <v>10260606.487277912</v>
      </c>
      <c r="K123" s="77">
        <f ca="1">K125*K13</f>
        <v>12345330.301858976</v>
      </c>
      <c r="L123" s="77">
        <f ca="1">L125*L13</f>
        <v>15359777.372925244</v>
      </c>
      <c r="M123" s="77">
        <f ca="1">M125*M13</f>
        <v>18751190.203894567</v>
      </c>
      <c r="N123" s="77">
        <f ca="1">N125*N13</f>
        <v>22587836.735918727</v>
      </c>
      <c r="O123" s="37"/>
    </row>
    <row r="124" spans="1:15" s="44" customFormat="1" ht="16" customHeight="1">
      <c r="A124" s="37"/>
      <c r="B124" s="37"/>
      <c r="C124" s="87"/>
      <c r="D124" s="37"/>
      <c r="E124" s="37"/>
      <c r="F124" s="37"/>
      <c r="G124" s="37"/>
      <c r="H124" s="37"/>
      <c r="I124" s="37"/>
      <c r="J124" s="37"/>
      <c r="K124" s="37"/>
      <c r="L124" s="37"/>
      <c r="M124" s="37"/>
      <c r="N124" s="37"/>
      <c r="O124" s="37"/>
    </row>
    <row r="125" spans="1:15" s="44" customFormat="1" ht="16" customHeight="1">
      <c r="A125" s="37"/>
      <c r="B125" s="72" t="s">
        <v>51</v>
      </c>
      <c r="C125" s="73"/>
      <c r="D125" s="73">
        <f t="shared" ref="D125:I125" si="96">D123/D13</f>
        <v>0.13979782346765859</v>
      </c>
      <c r="E125" s="73">
        <f t="shared" si="96"/>
        <v>0.15106097863626916</v>
      </c>
      <c r="F125" s="73">
        <f t="shared" si="96"/>
        <v>0.143035324400102</v>
      </c>
      <c r="G125" s="73">
        <f t="shared" si="96"/>
        <v>0.15468778694275753</v>
      </c>
      <c r="H125" s="73">
        <f t="shared" si="96"/>
        <v>0.15195322356218202</v>
      </c>
      <c r="I125" s="73">
        <f t="shared" si="96"/>
        <v>0.16220949847058908</v>
      </c>
      <c r="J125" s="89">
        <v>0.15</v>
      </c>
      <c r="K125" s="89">
        <v>0.15</v>
      </c>
      <c r="L125" s="89">
        <v>0.15</v>
      </c>
      <c r="M125" s="89">
        <v>0.15</v>
      </c>
      <c r="N125" s="89">
        <v>0.15</v>
      </c>
      <c r="O125" s="37"/>
    </row>
    <row r="126" spans="1:15" s="44" customFormat="1" ht="16" customHeight="1">
      <c r="A126" s="37"/>
      <c r="B126" s="72" t="s">
        <v>52</v>
      </c>
      <c r="C126" s="118"/>
      <c r="D126" s="118">
        <f t="shared" ref="D126:M126" si="97">D125*365</f>
        <v>51.026205565695385</v>
      </c>
      <c r="E126" s="118">
        <f t="shared" si="97"/>
        <v>55.137257202238246</v>
      </c>
      <c r="F126" s="118">
        <f t="shared" si="97"/>
        <v>52.207893406037229</v>
      </c>
      <c r="G126" s="118">
        <f t="shared" si="97"/>
        <v>56.4610422341065</v>
      </c>
      <c r="H126" s="118">
        <f t="shared" si="97"/>
        <v>55.46292660019644</v>
      </c>
      <c r="I126" s="118">
        <f t="shared" si="97"/>
        <v>59.206466941765015</v>
      </c>
      <c r="J126" s="118">
        <f t="shared" ref="J126" si="98">J125*365</f>
        <v>54.75</v>
      </c>
      <c r="K126" s="118">
        <f t="shared" si="97"/>
        <v>54.75</v>
      </c>
      <c r="L126" s="118">
        <f t="shared" si="97"/>
        <v>54.75</v>
      </c>
      <c r="M126" s="118">
        <f t="shared" si="97"/>
        <v>54.75</v>
      </c>
      <c r="N126" s="118">
        <f t="shared" ref="N126" si="99">N125*365</f>
        <v>54.75</v>
      </c>
      <c r="O126" s="37"/>
    </row>
    <row r="127" spans="1:15" s="44" customFormat="1" ht="16" customHeight="1">
      <c r="A127" s="37"/>
      <c r="B127" s="37"/>
      <c r="C127" s="73"/>
      <c r="D127" s="37"/>
      <c r="E127" s="37"/>
      <c r="F127" s="37"/>
      <c r="G127" s="37"/>
      <c r="H127" s="37"/>
      <c r="I127" s="37"/>
      <c r="J127" s="37"/>
      <c r="K127" s="37"/>
      <c r="L127" s="37"/>
      <c r="M127" s="37"/>
      <c r="N127" s="37"/>
      <c r="O127" s="37"/>
    </row>
    <row r="128" spans="1:15" s="44" customFormat="1" ht="16" customHeight="1">
      <c r="A128" s="37"/>
      <c r="B128" s="64" t="s">
        <v>53</v>
      </c>
      <c r="C128" s="64"/>
      <c r="D128" s="37"/>
      <c r="E128" s="37"/>
      <c r="F128" s="37"/>
      <c r="G128" s="37"/>
      <c r="H128" s="37"/>
      <c r="I128" s="37"/>
      <c r="J128" s="37"/>
      <c r="K128" s="37"/>
      <c r="L128" s="37"/>
      <c r="M128" s="37"/>
      <c r="N128" s="37"/>
      <c r="O128" s="37"/>
    </row>
    <row r="129" spans="1:16" s="44" customFormat="1" ht="16" customHeight="1">
      <c r="A129" s="37"/>
      <c r="B129" s="72" t="s">
        <v>48</v>
      </c>
      <c r="C129" s="37"/>
      <c r="D129" s="37"/>
      <c r="E129" s="37"/>
      <c r="F129" s="77"/>
      <c r="G129" s="77"/>
      <c r="H129" s="77"/>
      <c r="I129" s="77"/>
      <c r="J129" s="77">
        <f>I131</f>
        <v>8228965</v>
      </c>
      <c r="K129" s="77">
        <f ca="1">J131</f>
        <v>9227705.4342252705</v>
      </c>
      <c r="L129" s="77">
        <f ca="1">K131</f>
        <v>11102567.051471839</v>
      </c>
      <c r="M129" s="77">
        <f ca="1">L131</f>
        <v>13813559.784050772</v>
      </c>
      <c r="N129" s="77">
        <f ca="1">M131</f>
        <v>16863570.390035849</v>
      </c>
      <c r="O129" s="37"/>
    </row>
    <row r="130" spans="1:16" s="44" customFormat="1" ht="16" customHeight="1">
      <c r="A130" s="37"/>
      <c r="B130" s="72" t="s">
        <v>49</v>
      </c>
      <c r="C130" s="37"/>
      <c r="D130" s="37"/>
      <c r="E130" s="37"/>
      <c r="F130" s="77"/>
      <c r="G130" s="77"/>
      <c r="H130" s="77"/>
      <c r="I130" s="77"/>
      <c r="J130" s="77">
        <f ca="1">J131-J129</f>
        <v>998740.43422527052</v>
      </c>
      <c r="K130" s="77">
        <f ca="1">K131-K129</f>
        <v>1874861.6172465682</v>
      </c>
      <c r="L130" s="77">
        <f ca="1">L131-L129</f>
        <v>2710992.7325789332</v>
      </c>
      <c r="M130" s="77">
        <f ca="1">M131-M129</f>
        <v>3050010.6059850771</v>
      </c>
      <c r="N130" s="77">
        <f ca="1">N131-N129</f>
        <v>3450424.1144670583</v>
      </c>
      <c r="O130" s="37"/>
    </row>
    <row r="131" spans="1:16" s="44" customFormat="1" ht="16" customHeight="1">
      <c r="A131" s="37"/>
      <c r="B131" s="72" t="s">
        <v>50</v>
      </c>
      <c r="C131" s="77"/>
      <c r="D131" s="77">
        <f t="shared" ref="D131:I131" si="100">D91</f>
        <v>1850237</v>
      </c>
      <c r="E131" s="77">
        <f t="shared" si="100"/>
        <v>3102369</v>
      </c>
      <c r="F131" s="77">
        <f t="shared" si="100"/>
        <v>3169872</v>
      </c>
      <c r="G131" s="77">
        <f t="shared" si="100"/>
        <v>5269321</v>
      </c>
      <c r="H131" s="77">
        <f t="shared" si="100"/>
        <v>6723521</v>
      </c>
      <c r="I131" s="77">
        <f t="shared" si="100"/>
        <v>8228965</v>
      </c>
      <c r="J131" s="77">
        <f ca="1">-(J133*J14)</f>
        <v>9227705.4342252705</v>
      </c>
      <c r="K131" s="77">
        <f ca="1">-(K133*K14)</f>
        <v>11102567.051471839</v>
      </c>
      <c r="L131" s="77">
        <f ca="1">-(L133*L14)</f>
        <v>13813559.784050772</v>
      </c>
      <c r="M131" s="77">
        <f ca="1">-(M133*M14)</f>
        <v>16863570.390035849</v>
      </c>
      <c r="N131" s="77">
        <f ca="1">-(N133*N14)</f>
        <v>20313994.504502907</v>
      </c>
      <c r="O131" s="37"/>
    </row>
    <row r="132" spans="1:16" s="44" customFormat="1" ht="16" customHeight="1">
      <c r="A132" s="37"/>
      <c r="B132" s="37"/>
      <c r="C132" s="87"/>
      <c r="D132" s="37"/>
      <c r="E132" s="37"/>
      <c r="F132" s="37"/>
      <c r="G132" s="37"/>
      <c r="H132" s="37"/>
      <c r="I132" s="37"/>
      <c r="J132" s="37"/>
      <c r="K132" s="37"/>
      <c r="L132" s="37"/>
      <c r="M132" s="37"/>
      <c r="N132" s="37"/>
      <c r="O132" s="37"/>
    </row>
    <row r="133" spans="1:16" s="44" customFormat="1" ht="16" customHeight="1">
      <c r="A133" s="37"/>
      <c r="B133" s="72" t="s">
        <v>54</v>
      </c>
      <c r="C133" s="73"/>
      <c r="D133" s="73">
        <f t="shared" ref="D133:I133" si="101">-(D131/D14)</f>
        <v>0.13293271348163083</v>
      </c>
      <c r="E133" s="73">
        <f t="shared" si="101"/>
        <v>0.15453969112973459</v>
      </c>
      <c r="F133" s="73">
        <f t="shared" si="101"/>
        <v>0.15547297770535376</v>
      </c>
      <c r="G133" s="73">
        <f t="shared" si="101"/>
        <v>0.17395325409110224</v>
      </c>
      <c r="H133" s="73">
        <f t="shared" si="101"/>
        <v>0.18496664269686933</v>
      </c>
      <c r="I133" s="73">
        <f t="shared" si="101"/>
        <v>0.20212677374428606</v>
      </c>
      <c r="J133" s="89">
        <v>0.19</v>
      </c>
      <c r="K133" s="89">
        <v>0.19</v>
      </c>
      <c r="L133" s="89">
        <v>0.19</v>
      </c>
      <c r="M133" s="89">
        <v>0.19</v>
      </c>
      <c r="N133" s="89">
        <v>0.19</v>
      </c>
      <c r="O133" s="37"/>
    </row>
    <row r="134" spans="1:16" s="44" customFormat="1" ht="16" customHeight="1">
      <c r="A134" s="37"/>
      <c r="B134" s="72" t="s">
        <v>55</v>
      </c>
      <c r="C134" s="119"/>
      <c r="D134" s="119">
        <f t="shared" ref="D134:N134" si="102">-(D14/D131)</f>
        <v>7.5226027800762818</v>
      </c>
      <c r="E134" s="119">
        <f t="shared" si="102"/>
        <v>6.4708295499342601</v>
      </c>
      <c r="F134" s="119">
        <f t="shared" si="102"/>
        <v>6.431985897222348</v>
      </c>
      <c r="G134" s="119">
        <f t="shared" si="102"/>
        <v>5.7486708439284682</v>
      </c>
      <c r="H134" s="119">
        <f t="shared" si="102"/>
        <v>5.4063802284547045</v>
      </c>
      <c r="I134" s="119">
        <f t="shared" si="102"/>
        <v>4.9473901031296164</v>
      </c>
      <c r="J134" s="119">
        <f t="shared" ca="1" si="102"/>
        <v>5.2631578947368425</v>
      </c>
      <c r="K134" s="119">
        <f t="shared" ca="1" si="102"/>
        <v>5.2631578947368425</v>
      </c>
      <c r="L134" s="119">
        <f t="shared" ca="1" si="102"/>
        <v>5.2631578947368425</v>
      </c>
      <c r="M134" s="119">
        <f t="shared" ca="1" si="102"/>
        <v>5.2631578947368425</v>
      </c>
      <c r="N134" s="119">
        <f t="shared" ca="1" si="102"/>
        <v>5.2631578947368416</v>
      </c>
      <c r="O134" s="37"/>
    </row>
    <row r="135" spans="1:16" s="44" customFormat="1" ht="16" customHeight="1">
      <c r="A135" s="37"/>
      <c r="B135" s="37"/>
      <c r="C135" s="73"/>
      <c r="D135" s="37"/>
      <c r="E135" s="37"/>
      <c r="F135" s="37"/>
      <c r="G135" s="37"/>
      <c r="H135" s="37"/>
      <c r="I135" s="37"/>
      <c r="J135" s="37"/>
      <c r="K135" s="37"/>
      <c r="L135" s="37"/>
      <c r="M135" s="37"/>
      <c r="N135" s="37"/>
      <c r="O135" s="37"/>
    </row>
    <row r="136" spans="1:16" s="44" customFormat="1" ht="16" customHeight="1">
      <c r="A136" s="37"/>
      <c r="B136" s="64" t="s">
        <v>56</v>
      </c>
      <c r="C136" s="64"/>
      <c r="D136" s="37"/>
      <c r="E136" s="37"/>
      <c r="F136" s="37"/>
      <c r="G136" s="37"/>
      <c r="H136" s="37"/>
      <c r="I136" s="37"/>
      <c r="J136" s="37"/>
      <c r="K136" s="37"/>
      <c r="L136" s="37"/>
      <c r="M136" s="37"/>
      <c r="N136" s="37"/>
      <c r="O136" s="37"/>
    </row>
    <row r="137" spans="1:16" s="44" customFormat="1" ht="16" customHeight="1">
      <c r="A137" s="37"/>
      <c r="B137" s="72" t="s">
        <v>48</v>
      </c>
      <c r="C137" s="37"/>
      <c r="D137" s="37"/>
      <c r="E137" s="37"/>
      <c r="F137" s="77"/>
      <c r="G137" s="77"/>
      <c r="H137" s="77"/>
      <c r="I137" s="77"/>
      <c r="J137" s="77">
        <f>I139</f>
        <v>3604071</v>
      </c>
      <c r="K137" s="77">
        <f ca="1">J139</f>
        <v>4299441.9389382862</v>
      </c>
      <c r="L137" s="77">
        <f ca="1">K139</f>
        <v>5172991.5688384864</v>
      </c>
      <c r="M137" s="77">
        <f ca="1">L139</f>
        <v>6436117.6984802</v>
      </c>
      <c r="N137" s="77">
        <f ca="1">M139</f>
        <v>7857201.5862408383</v>
      </c>
      <c r="O137" s="37"/>
    </row>
    <row r="138" spans="1:16" s="44" customFormat="1" ht="16" customHeight="1">
      <c r="A138" s="37"/>
      <c r="B138" s="72" t="s">
        <v>49</v>
      </c>
      <c r="C138" s="37"/>
      <c r="D138" s="37"/>
      <c r="E138" s="37"/>
      <c r="F138" s="77"/>
      <c r="G138" s="77"/>
      <c r="H138" s="77"/>
      <c r="I138" s="77"/>
      <c r="J138" s="77">
        <f ca="1">J139-J137</f>
        <v>695370.93893828616</v>
      </c>
      <c r="K138" s="77">
        <f ca="1">K139-K137</f>
        <v>873549.62990020029</v>
      </c>
      <c r="L138" s="77">
        <f ca="1">L139-L137</f>
        <v>1263126.1296417136</v>
      </c>
      <c r="M138" s="77">
        <f ca="1">M139-M137</f>
        <v>1421083.8877606383</v>
      </c>
      <c r="N138" s="77">
        <f ca="1">N139-N137</f>
        <v>1607647.5620733937</v>
      </c>
      <c r="O138" s="37"/>
    </row>
    <row r="139" spans="1:16" s="44" customFormat="1" ht="16" customHeight="1">
      <c r="A139" s="37"/>
      <c r="B139" s="72" t="s">
        <v>50</v>
      </c>
      <c r="C139" s="77"/>
      <c r="D139" s="77">
        <f t="shared" ref="D139:I139" si="103">D97</f>
        <v>1302673</v>
      </c>
      <c r="E139" s="77">
        <f t="shared" si="103"/>
        <v>1796741</v>
      </c>
      <c r="F139" s="77">
        <f t="shared" si="103"/>
        <v>1854971</v>
      </c>
      <c r="G139" s="77">
        <f t="shared" si="103"/>
        <v>2926243</v>
      </c>
      <c r="H139" s="77">
        <f t="shared" si="103"/>
        <v>3071491</v>
      </c>
      <c r="I139" s="77">
        <f t="shared" si="103"/>
        <v>3604071</v>
      </c>
      <c r="J139" s="77">
        <f ca="1">-(J141*J14)</f>
        <v>4299441.9389382862</v>
      </c>
      <c r="K139" s="77">
        <f ca="1">-(K141*K14)</f>
        <v>5172991.5688384864</v>
      </c>
      <c r="L139" s="77">
        <f ca="1">-(L141*L14)</f>
        <v>6436117.6984802</v>
      </c>
      <c r="M139" s="77">
        <f ca="1">-(M141*M14)</f>
        <v>7857201.5862408383</v>
      </c>
      <c r="N139" s="77">
        <f ca="1">-(N141*N14)</f>
        <v>9464849.148314232</v>
      </c>
      <c r="O139" s="37"/>
    </row>
    <row r="140" spans="1:16" s="44" customFormat="1" ht="16" customHeight="1">
      <c r="A140" s="37"/>
      <c r="B140" s="37"/>
      <c r="C140" s="73"/>
      <c r="D140" s="37"/>
      <c r="E140" s="37"/>
      <c r="F140" s="37"/>
      <c r="G140" s="37"/>
      <c r="H140" s="37"/>
      <c r="I140" s="37"/>
      <c r="J140" s="37"/>
      <c r="K140" s="37"/>
      <c r="L140" s="37"/>
      <c r="M140" s="37"/>
      <c r="N140" s="37"/>
      <c r="O140" s="37"/>
    </row>
    <row r="141" spans="1:16" s="44" customFormat="1" ht="16" customHeight="1">
      <c r="A141" s="37"/>
      <c r="B141" s="72" t="s">
        <v>57</v>
      </c>
      <c r="C141" s="73"/>
      <c r="D141" s="73">
        <f t="shared" ref="D141:I141" si="104">-(D139/D14)</f>
        <v>9.3592256921278996E-2</v>
      </c>
      <c r="E141" s="73">
        <f t="shared" si="104"/>
        <v>8.9501861055255011E-2</v>
      </c>
      <c r="F141" s="73">
        <f t="shared" si="104"/>
        <v>9.0980918133942879E-2</v>
      </c>
      <c r="G141" s="73">
        <f t="shared" si="104"/>
        <v>9.6602482959627867E-2</v>
      </c>
      <c r="H141" s="73">
        <f t="shared" si="104"/>
        <v>8.449789601960786E-2</v>
      </c>
      <c r="I141" s="73">
        <f t="shared" si="104"/>
        <v>8.8526229431689502E-2</v>
      </c>
      <c r="J141" s="89">
        <f>I141</f>
        <v>8.8526229431689502E-2</v>
      </c>
      <c r="K141" s="89">
        <f>J141</f>
        <v>8.8526229431689502E-2</v>
      </c>
      <c r="L141" s="89">
        <f>K141</f>
        <v>8.8526229431689502E-2</v>
      </c>
      <c r="M141" s="89">
        <f>L141</f>
        <v>8.8526229431689502E-2</v>
      </c>
      <c r="N141" s="89">
        <f>M141</f>
        <v>8.8526229431689502E-2</v>
      </c>
      <c r="O141" s="37"/>
    </row>
    <row r="142" spans="1:16" s="44" customFormat="1" ht="16" customHeight="1">
      <c r="A142" s="37"/>
      <c r="B142" s="72" t="s">
        <v>58</v>
      </c>
      <c r="C142" s="118"/>
      <c r="D142" s="118">
        <f t="shared" ref="D142:M142" si="105">D141*365</f>
        <v>34.161173776266835</v>
      </c>
      <c r="E142" s="118">
        <f t="shared" si="105"/>
        <v>32.66817928516808</v>
      </c>
      <c r="F142" s="118">
        <f t="shared" si="105"/>
        <v>33.20803511888915</v>
      </c>
      <c r="G142" s="118">
        <f t="shared" si="105"/>
        <v>35.259906280264168</v>
      </c>
      <c r="H142" s="118">
        <f t="shared" si="105"/>
        <v>30.841732047156867</v>
      </c>
      <c r="I142" s="118">
        <f t="shared" si="105"/>
        <v>32.312073742566668</v>
      </c>
      <c r="J142" s="118">
        <f t="shared" ref="J142" si="106">J141*365</f>
        <v>32.312073742566668</v>
      </c>
      <c r="K142" s="118">
        <f t="shared" si="105"/>
        <v>32.312073742566668</v>
      </c>
      <c r="L142" s="118">
        <f t="shared" si="105"/>
        <v>32.312073742566668</v>
      </c>
      <c r="M142" s="118">
        <f t="shared" si="105"/>
        <v>32.312073742566668</v>
      </c>
      <c r="N142" s="118">
        <f t="shared" ref="N142" si="107">N141*365</f>
        <v>32.312073742566668</v>
      </c>
      <c r="O142" s="37"/>
    </row>
    <row r="143" spans="1:16" s="44" customFormat="1" ht="16" customHeight="1">
      <c r="A143" s="37"/>
      <c r="B143" s="37"/>
      <c r="C143" s="73"/>
      <c r="D143" s="37"/>
      <c r="E143" s="37"/>
      <c r="F143" s="37"/>
      <c r="G143" s="37"/>
      <c r="H143" s="37"/>
      <c r="I143" s="37"/>
      <c r="J143" s="37"/>
      <c r="K143" s="37"/>
      <c r="L143" s="37"/>
      <c r="M143" s="37"/>
      <c r="N143" s="37"/>
      <c r="O143" s="37"/>
      <c r="P143" s="120"/>
    </row>
    <row r="144" spans="1:16" s="44" customFormat="1" ht="16" customHeight="1">
      <c r="A144" s="37"/>
      <c r="B144" s="38" t="s">
        <v>59</v>
      </c>
      <c r="C144" s="54"/>
      <c r="D144" s="39"/>
      <c r="E144" s="39"/>
      <c r="F144" s="39"/>
      <c r="G144" s="40"/>
      <c r="H144" s="40"/>
      <c r="I144" s="40"/>
      <c r="J144" s="40"/>
      <c r="K144" s="40"/>
      <c r="L144" s="40"/>
      <c r="M144" s="40"/>
      <c r="N144" s="37"/>
      <c r="O144" s="37"/>
    </row>
    <row r="145" spans="1:16" s="44" customFormat="1" ht="16" customHeight="1">
      <c r="A145" s="37"/>
      <c r="B145" s="45" t="str">
        <f>$B$10</f>
        <v xml:space="preserve">Fiscal year  </v>
      </c>
      <c r="C145" s="46"/>
      <c r="D145" s="47">
        <f ca="1">D$10</f>
        <v>2016</v>
      </c>
      <c r="E145" s="47">
        <f t="shared" ref="E145:I145" ca="1" si="108">E$10</f>
        <v>2017</v>
      </c>
      <c r="F145" s="47">
        <f t="shared" ca="1" si="108"/>
        <v>2018</v>
      </c>
      <c r="G145" s="47">
        <f t="shared" ca="1" si="108"/>
        <v>2019</v>
      </c>
      <c r="H145" s="47">
        <f t="shared" ca="1" si="108"/>
        <v>2020</v>
      </c>
      <c r="I145" s="47">
        <f t="shared" ca="1" si="108"/>
        <v>2021</v>
      </c>
      <c r="J145" s="48">
        <f ca="1">J$10</f>
        <v>2022</v>
      </c>
      <c r="K145" s="48">
        <f t="shared" ref="K145:N145" ca="1" si="109">K$10</f>
        <v>2023</v>
      </c>
      <c r="L145" s="48">
        <f t="shared" ca="1" si="109"/>
        <v>2024</v>
      </c>
      <c r="M145" s="48">
        <f t="shared" ca="1" si="109"/>
        <v>2025</v>
      </c>
      <c r="N145" s="48">
        <f t="shared" ca="1" si="109"/>
        <v>2026</v>
      </c>
      <c r="O145" s="37"/>
    </row>
    <row r="146" spans="1:16" s="44" customFormat="1" ht="16" customHeight="1">
      <c r="A146" s="37"/>
      <c r="B146" s="51" t="str">
        <f>$B$11</f>
        <v>Fiscal year end date</v>
      </c>
      <c r="C146" s="52"/>
      <c r="D146" s="53">
        <f>D$11</f>
        <v>42460</v>
      </c>
      <c r="E146" s="53">
        <f t="shared" ref="E146:I146" si="110">E$11</f>
        <v>42825</v>
      </c>
      <c r="F146" s="53">
        <f t="shared" si="110"/>
        <v>43190</v>
      </c>
      <c r="G146" s="53">
        <f t="shared" si="110"/>
        <v>43555</v>
      </c>
      <c r="H146" s="53">
        <f t="shared" si="110"/>
        <v>43921</v>
      </c>
      <c r="I146" s="53">
        <f t="shared" si="110"/>
        <v>44286</v>
      </c>
      <c r="J146" s="54">
        <f>J$11</f>
        <v>44651</v>
      </c>
      <c r="K146" s="54">
        <f t="shared" ref="K146:N146" si="111">K$11</f>
        <v>45016</v>
      </c>
      <c r="L146" s="54">
        <f t="shared" si="111"/>
        <v>45382</v>
      </c>
      <c r="M146" s="54">
        <f t="shared" si="111"/>
        <v>45747</v>
      </c>
      <c r="N146" s="54">
        <f t="shared" si="111"/>
        <v>46112</v>
      </c>
      <c r="O146" s="37"/>
    </row>
    <row r="147" spans="1:16" s="44" customFormat="1" ht="16" customHeight="1">
      <c r="A147" s="37"/>
      <c r="B147" s="83"/>
      <c r="C147" s="45"/>
      <c r="D147" s="45"/>
      <c r="E147" s="45"/>
      <c r="F147" s="45"/>
      <c r="G147" s="45"/>
      <c r="H147" s="45"/>
      <c r="I147" s="45"/>
      <c r="J147" s="45"/>
      <c r="K147" s="45"/>
      <c r="L147" s="45"/>
      <c r="M147" s="45"/>
      <c r="N147" s="37"/>
      <c r="O147" s="37"/>
    </row>
    <row r="148" spans="1:16" s="44" customFormat="1" ht="16" customHeight="1">
      <c r="A148" s="37"/>
      <c r="B148" s="72" t="s">
        <v>48</v>
      </c>
      <c r="C148" s="37"/>
      <c r="D148" s="37"/>
      <c r="E148" s="61">
        <f>D151</f>
        <v>2496001</v>
      </c>
      <c r="F148" s="61">
        <f t="shared" ref="F148:I148" si="112">E151</f>
        <v>2312533</v>
      </c>
      <c r="G148" s="61">
        <f t="shared" si="112"/>
        <v>2330359</v>
      </c>
      <c r="H148" s="61">
        <f t="shared" si="112"/>
        <v>2417974</v>
      </c>
      <c r="I148" s="61">
        <f t="shared" si="112"/>
        <v>2396971</v>
      </c>
      <c r="J148" s="61">
        <f>I151</f>
        <v>2394259</v>
      </c>
      <c r="K148" s="61">
        <f ca="1">J151</f>
        <v>2099655.5098818345</v>
      </c>
      <c r="L148" s="61">
        <f ca="1">K151</f>
        <v>1806009.1017888361</v>
      </c>
      <c r="M148" s="61">
        <f ca="1">L151</f>
        <v>1512362.6936958376</v>
      </c>
      <c r="N148" s="61">
        <f ca="1">M151</f>
        <v>1218716.2856028392</v>
      </c>
      <c r="O148" s="37"/>
    </row>
    <row r="149" spans="1:16" s="44" customFormat="1" ht="16" customHeight="1">
      <c r="A149" s="37"/>
      <c r="B149" s="72" t="s">
        <v>60</v>
      </c>
      <c r="C149" s="37"/>
      <c r="D149" s="37"/>
      <c r="E149" s="77">
        <f>D153</f>
        <v>26897</v>
      </c>
      <c r="F149" s="77">
        <f t="shared" ref="F149:I149" si="113">E153</f>
        <v>23687</v>
      </c>
      <c r="G149" s="77">
        <f t="shared" si="113"/>
        <v>92369</v>
      </c>
      <c r="H149" s="77">
        <f t="shared" si="113"/>
        <v>54326</v>
      </c>
      <c r="I149" s="77">
        <f t="shared" si="113"/>
        <v>36278</v>
      </c>
      <c r="J149" s="77">
        <f ca="1">J153</f>
        <v>150488.89514674273</v>
      </c>
      <c r="K149" s="77">
        <f>K153</f>
        <v>150000</v>
      </c>
      <c r="L149" s="77">
        <f>L153</f>
        <v>150000</v>
      </c>
      <c r="M149" s="77">
        <f>M153</f>
        <v>150000</v>
      </c>
      <c r="N149" s="77">
        <f>N153</f>
        <v>150000</v>
      </c>
      <c r="O149" s="37"/>
    </row>
    <row r="150" spans="1:16" s="44" customFormat="1" ht="16" customHeight="1">
      <c r="A150" s="37"/>
      <c r="B150" s="72" t="s">
        <v>61</v>
      </c>
      <c r="C150" s="37"/>
      <c r="D150" s="37"/>
      <c r="E150" s="77">
        <f>D155</f>
        <v>-210365</v>
      </c>
      <c r="F150" s="77">
        <f t="shared" ref="F150:I150" si="114">E155</f>
        <v>-189328.5</v>
      </c>
      <c r="G150" s="77">
        <f t="shared" si="114"/>
        <v>-170395.65</v>
      </c>
      <c r="H150" s="77">
        <f t="shared" si="114"/>
        <v>-153356.08499999999</v>
      </c>
      <c r="I150" s="77">
        <f t="shared" si="114"/>
        <v>-138020.47649999999</v>
      </c>
      <c r="J150" s="77">
        <f ca="1">J155</f>
        <v>-445092.38526490849</v>
      </c>
      <c r="K150" s="77">
        <f>K155</f>
        <v>-443646.40809299838</v>
      </c>
      <c r="L150" s="77">
        <f>L155</f>
        <v>-443646.40809299838</v>
      </c>
      <c r="M150" s="77">
        <f>M155</f>
        <v>-443646.40809299838</v>
      </c>
      <c r="N150" s="77">
        <f>N155</f>
        <v>-443646.40809299838</v>
      </c>
      <c r="O150" s="37"/>
    </row>
    <row r="151" spans="1:16" s="44" customFormat="1" ht="16" customHeight="1">
      <c r="A151" s="37"/>
      <c r="B151" s="72" t="s">
        <v>50</v>
      </c>
      <c r="C151" s="61"/>
      <c r="D151" s="61">
        <f t="shared" ref="D151:I151" si="115">D92</f>
        <v>2496001</v>
      </c>
      <c r="E151" s="61">
        <f t="shared" si="115"/>
        <v>2312533</v>
      </c>
      <c r="F151" s="61">
        <f t="shared" si="115"/>
        <v>2330359</v>
      </c>
      <c r="G151" s="61">
        <f t="shared" si="115"/>
        <v>2417974</v>
      </c>
      <c r="H151" s="61">
        <f t="shared" si="115"/>
        <v>2396971</v>
      </c>
      <c r="I151" s="61">
        <f t="shared" si="115"/>
        <v>2394259</v>
      </c>
      <c r="J151" s="61">
        <f ca="1">SUM(J148:J150)</f>
        <v>2099655.5098818345</v>
      </c>
      <c r="K151" s="61">
        <f ca="1">SUM(K148:K150)</f>
        <v>1806009.1017888361</v>
      </c>
      <c r="L151" s="61">
        <f ca="1">SUM(L148:L150)</f>
        <v>1512362.6936958376</v>
      </c>
      <c r="M151" s="61">
        <f ca="1">SUM(M148:M150)</f>
        <v>1218716.2856028392</v>
      </c>
      <c r="N151" s="61">
        <f ca="1">SUM(N148:N150)</f>
        <v>925069.87750984076</v>
      </c>
      <c r="O151" s="37"/>
    </row>
    <row r="152" spans="1:16" s="44" customFormat="1" ht="16" customHeight="1">
      <c r="A152" s="37"/>
      <c r="B152" s="72"/>
      <c r="C152" s="37"/>
      <c r="D152" s="37"/>
      <c r="E152" s="61"/>
      <c r="F152" s="61"/>
      <c r="G152" s="61"/>
      <c r="H152" s="61"/>
      <c r="I152" s="61"/>
      <c r="J152" s="37"/>
      <c r="K152" s="37"/>
      <c r="L152" s="37"/>
      <c r="M152" s="37"/>
      <c r="N152" s="37"/>
      <c r="O152" s="37"/>
    </row>
    <row r="153" spans="1:16" s="44" customFormat="1" ht="16" customHeight="1">
      <c r="A153" s="37"/>
      <c r="B153" s="72" t="s">
        <v>130</v>
      </c>
      <c r="C153" s="59"/>
      <c r="D153" s="59">
        <v>26897</v>
      </c>
      <c r="E153" s="59">
        <v>23687</v>
      </c>
      <c r="F153" s="59">
        <v>92369</v>
      </c>
      <c r="G153" s="59">
        <v>54326</v>
      </c>
      <c r="H153" s="59">
        <v>36278</v>
      </c>
      <c r="I153" s="59">
        <v>36987</v>
      </c>
      <c r="J153" s="77">
        <f ca="1">J154*J13</f>
        <v>150488.89514674273</v>
      </c>
      <c r="K153" s="77">
        <f>-K76</f>
        <v>150000</v>
      </c>
      <c r="L153" s="77">
        <f>-L76</f>
        <v>150000</v>
      </c>
      <c r="M153" s="77">
        <f>-M76</f>
        <v>150000</v>
      </c>
      <c r="N153" s="77">
        <f>-N76</f>
        <v>150000</v>
      </c>
      <c r="O153" s="37"/>
    </row>
    <row r="154" spans="1:16" s="44" customFormat="1" ht="16" customHeight="1">
      <c r="A154" s="37"/>
      <c r="B154" s="72" t="s">
        <v>62</v>
      </c>
      <c r="C154" s="73"/>
      <c r="D154" s="73">
        <f t="shared" ref="D154:I154" si="116">D153/D13</f>
        <v>1.3720397109519345E-3</v>
      </c>
      <c r="E154" s="73">
        <f t="shared" si="116"/>
        <v>8.3775106404146578E-4</v>
      </c>
      <c r="F154" s="73">
        <f t="shared" si="116"/>
        <v>3.2166054273430372E-3</v>
      </c>
      <c r="G154" s="73">
        <f t="shared" si="116"/>
        <v>1.2733387922407573E-3</v>
      </c>
      <c r="H154" s="73">
        <f t="shared" si="116"/>
        <v>7.0859540405622523E-4</v>
      </c>
      <c r="I154" s="73">
        <f t="shared" si="116"/>
        <v>6.450391567386554E-4</v>
      </c>
      <c r="J154" s="121">
        <v>2.2000000000000001E-3</v>
      </c>
      <c r="K154" s="121">
        <v>1.8E-3</v>
      </c>
      <c r="L154" s="121">
        <v>1.5E-3</v>
      </c>
      <c r="M154" s="121">
        <v>1.1999999999999999E-3</v>
      </c>
      <c r="N154" s="121">
        <v>8.9999999999999998E-4</v>
      </c>
      <c r="O154" s="37"/>
    </row>
    <row r="155" spans="1:16" s="44" customFormat="1" ht="16" customHeight="1">
      <c r="A155" s="37"/>
      <c r="B155" s="72" t="s">
        <v>126</v>
      </c>
      <c r="C155" s="77"/>
      <c r="D155" s="77">
        <f t="shared" ref="D155:I155" si="117">-D36</f>
        <v>-210365</v>
      </c>
      <c r="E155" s="77">
        <f t="shared" si="117"/>
        <v>-189328.5</v>
      </c>
      <c r="F155" s="77">
        <f t="shared" si="117"/>
        <v>-170395.65</v>
      </c>
      <c r="G155" s="77">
        <f t="shared" si="117"/>
        <v>-153356.08499999999</v>
      </c>
      <c r="H155" s="77">
        <f t="shared" si="117"/>
        <v>-138020.47649999999</v>
      </c>
      <c r="I155" s="77">
        <f t="shared" si="117"/>
        <v>-124218.42885</v>
      </c>
      <c r="J155" s="77">
        <f ca="1">-(J156*J153)</f>
        <v>-445092.38526490849</v>
      </c>
      <c r="K155" s="77">
        <f t="shared" ref="K155:N155" si="118">-(K156*K153)</f>
        <v>-443646.40809299838</v>
      </c>
      <c r="L155" s="77">
        <f t="shared" si="118"/>
        <v>-443646.40809299838</v>
      </c>
      <c r="M155" s="77">
        <f t="shared" si="118"/>
        <v>-443646.40809299838</v>
      </c>
      <c r="N155" s="77">
        <f t="shared" si="118"/>
        <v>-443646.40809299838</v>
      </c>
      <c r="O155" s="37"/>
    </row>
    <row r="156" spans="1:16" s="44" customFormat="1" ht="16" customHeight="1">
      <c r="A156" s="37"/>
      <c r="B156" s="72" t="s">
        <v>225</v>
      </c>
      <c r="C156" s="73"/>
      <c r="D156" s="122">
        <f>-(D155/D153)</f>
        <v>7.8211324683050156</v>
      </c>
      <c r="E156" s="122">
        <f t="shared" ref="E156:I156" si="119">-(E155/E153)</f>
        <v>7.9929286106303037</v>
      </c>
      <c r="F156" s="122">
        <f t="shared" si="119"/>
        <v>1.8447276683735885</v>
      </c>
      <c r="G156" s="122">
        <f t="shared" si="119"/>
        <v>2.8228856348709641</v>
      </c>
      <c r="H156" s="122">
        <f t="shared" si="119"/>
        <v>3.8045227548376426</v>
      </c>
      <c r="I156" s="122">
        <f t="shared" si="119"/>
        <v>3.3584348243977611</v>
      </c>
      <c r="J156" s="123">
        <f>AVERAGE(F156:I156)</f>
        <v>2.9576427206199893</v>
      </c>
      <c r="K156" s="123">
        <f>J156</f>
        <v>2.9576427206199893</v>
      </c>
      <c r="L156" s="123">
        <f>K156</f>
        <v>2.9576427206199893</v>
      </c>
      <c r="M156" s="123">
        <f>L156</f>
        <v>2.9576427206199893</v>
      </c>
      <c r="N156" s="123">
        <f>M156</f>
        <v>2.9576427206199893</v>
      </c>
      <c r="O156" s="37"/>
      <c r="P156" s="44" t="s">
        <v>226</v>
      </c>
    </row>
    <row r="157" spans="1:16" s="44" customFormat="1" ht="16" customHeight="1">
      <c r="A157" s="37"/>
      <c r="B157" s="37"/>
      <c r="C157" s="37"/>
      <c r="D157" s="37"/>
      <c r="E157" s="37"/>
      <c r="F157" s="37"/>
      <c r="G157" s="37"/>
      <c r="H157" s="37"/>
      <c r="I157" s="37"/>
      <c r="J157" s="37"/>
      <c r="K157" s="37"/>
      <c r="L157" s="37"/>
      <c r="M157" s="37"/>
      <c r="N157" s="37"/>
      <c r="O157" s="37"/>
    </row>
    <row r="158" spans="1:16" s="44" customFormat="1" ht="16" customHeight="1">
      <c r="A158" s="37"/>
      <c r="B158" s="38" t="s">
        <v>63</v>
      </c>
      <c r="C158" s="54"/>
      <c r="D158" s="39"/>
      <c r="E158" s="39"/>
      <c r="F158" s="39"/>
      <c r="G158" s="40"/>
      <c r="H158" s="40"/>
      <c r="I158" s="40"/>
      <c r="J158" s="40"/>
      <c r="K158" s="40"/>
      <c r="L158" s="40"/>
      <c r="M158" s="40"/>
      <c r="N158" s="37"/>
      <c r="O158" s="37"/>
    </row>
    <row r="159" spans="1:16" s="44" customFormat="1" ht="16" customHeight="1">
      <c r="A159" s="37"/>
      <c r="B159" s="45" t="str">
        <f>$B$10</f>
        <v xml:space="preserve">Fiscal year  </v>
      </c>
      <c r="C159" s="46"/>
      <c r="D159" s="47">
        <f ca="1">D$10</f>
        <v>2016</v>
      </c>
      <c r="E159" s="47">
        <f t="shared" ref="E159:I159" ca="1" si="120">E$10</f>
        <v>2017</v>
      </c>
      <c r="F159" s="47">
        <f t="shared" ca="1" si="120"/>
        <v>2018</v>
      </c>
      <c r="G159" s="47">
        <f t="shared" ca="1" si="120"/>
        <v>2019</v>
      </c>
      <c r="H159" s="47">
        <f t="shared" ca="1" si="120"/>
        <v>2020</v>
      </c>
      <c r="I159" s="47">
        <f t="shared" ca="1" si="120"/>
        <v>2021</v>
      </c>
      <c r="J159" s="48">
        <f ca="1">J$10</f>
        <v>2022</v>
      </c>
      <c r="K159" s="48">
        <f t="shared" ref="K159:N159" ca="1" si="121">K$10</f>
        <v>2023</v>
      </c>
      <c r="L159" s="48">
        <f t="shared" ca="1" si="121"/>
        <v>2024</v>
      </c>
      <c r="M159" s="48">
        <f t="shared" ca="1" si="121"/>
        <v>2025</v>
      </c>
      <c r="N159" s="48">
        <f t="shared" ca="1" si="121"/>
        <v>2026</v>
      </c>
      <c r="O159" s="37"/>
    </row>
    <row r="160" spans="1:16" s="44" customFormat="1" ht="16" customHeight="1">
      <c r="A160" s="37"/>
      <c r="B160" s="51" t="str">
        <f>$B$11</f>
        <v>Fiscal year end date</v>
      </c>
      <c r="C160" s="52"/>
      <c r="D160" s="53">
        <f>D$11</f>
        <v>42460</v>
      </c>
      <c r="E160" s="53">
        <f t="shared" ref="E160:I160" si="122">E$11</f>
        <v>42825</v>
      </c>
      <c r="F160" s="53">
        <f t="shared" si="122"/>
        <v>43190</v>
      </c>
      <c r="G160" s="53">
        <f t="shared" si="122"/>
        <v>43555</v>
      </c>
      <c r="H160" s="53">
        <f t="shared" si="122"/>
        <v>43921</v>
      </c>
      <c r="I160" s="53">
        <f t="shared" si="122"/>
        <v>44286</v>
      </c>
      <c r="J160" s="54">
        <f>J$11</f>
        <v>44651</v>
      </c>
      <c r="K160" s="54">
        <f t="shared" ref="K160:N160" si="123">K$11</f>
        <v>45016</v>
      </c>
      <c r="L160" s="54">
        <f t="shared" si="123"/>
        <v>45382</v>
      </c>
      <c r="M160" s="54">
        <f t="shared" si="123"/>
        <v>45747</v>
      </c>
      <c r="N160" s="54">
        <f t="shared" si="123"/>
        <v>46112</v>
      </c>
      <c r="O160" s="37"/>
    </row>
    <row r="161" spans="1:15" s="44" customFormat="1" ht="16" customHeight="1">
      <c r="A161" s="37"/>
      <c r="B161" s="83"/>
      <c r="C161" s="45"/>
      <c r="D161" s="45"/>
      <c r="E161" s="45"/>
      <c r="F161" s="45"/>
      <c r="G161" s="45"/>
      <c r="H161" s="45"/>
      <c r="I161" s="45"/>
      <c r="J161" s="45"/>
      <c r="K161" s="45"/>
      <c r="L161" s="45"/>
      <c r="M161" s="45"/>
      <c r="N161" s="37"/>
      <c r="O161" s="37"/>
    </row>
    <row r="162" spans="1:15" s="44" customFormat="1" ht="16" customHeight="1">
      <c r="A162" s="37"/>
      <c r="B162" s="64" t="s">
        <v>33</v>
      </c>
      <c r="C162" s="37"/>
      <c r="D162" s="37"/>
      <c r="E162" s="37"/>
      <c r="F162" s="37"/>
      <c r="G162" s="37"/>
      <c r="H162" s="37"/>
      <c r="I162" s="37"/>
      <c r="J162" s="37"/>
      <c r="K162" s="37"/>
      <c r="L162" s="37"/>
      <c r="M162" s="37"/>
      <c r="N162" s="37"/>
      <c r="O162" s="37"/>
    </row>
    <row r="163" spans="1:15" s="44" customFormat="1" ht="16" customHeight="1">
      <c r="A163" s="37"/>
      <c r="B163" s="72" t="s">
        <v>48</v>
      </c>
      <c r="C163" s="37"/>
      <c r="D163" s="37"/>
      <c r="E163" s="37"/>
      <c r="F163" s="37"/>
      <c r="G163" s="37"/>
      <c r="H163" s="37"/>
      <c r="I163" s="61"/>
      <c r="J163" s="61">
        <f>I165</f>
        <v>225036</v>
      </c>
      <c r="K163" s="61">
        <f ca="1">J165</f>
        <v>268454.5346359766</v>
      </c>
      <c r="L163" s="61">
        <f ca="1">K165</f>
        <v>322998.44119567267</v>
      </c>
      <c r="M163" s="61">
        <f ca="1">L165</f>
        <v>401867.2669957123</v>
      </c>
      <c r="N163" s="61">
        <f ca="1">M165</f>
        <v>490598.87895502493</v>
      </c>
      <c r="O163" s="37"/>
    </row>
    <row r="164" spans="1:15" s="44" customFormat="1" ht="16" customHeight="1">
      <c r="A164" s="37"/>
      <c r="B164" s="72" t="s">
        <v>49</v>
      </c>
      <c r="C164" s="37"/>
      <c r="D164" s="37"/>
      <c r="E164" s="37"/>
      <c r="F164" s="37"/>
      <c r="G164" s="37"/>
      <c r="H164" s="37"/>
      <c r="I164" s="76"/>
      <c r="J164" s="61">
        <f ca="1">J172*J163</f>
        <v>43418.53463597659</v>
      </c>
      <c r="K164" s="61">
        <f t="shared" ref="K164:N164" ca="1" si="124">K172*K163</f>
        <v>54543.90655969605</v>
      </c>
      <c r="L164" s="61">
        <f t="shared" ca="1" si="124"/>
        <v>78868.825800039602</v>
      </c>
      <c r="M164" s="61">
        <f t="shared" ca="1" si="124"/>
        <v>88731.61195931265</v>
      </c>
      <c r="N164" s="61">
        <f t="shared" ca="1" si="124"/>
        <v>100380.53409360633</v>
      </c>
      <c r="O164" s="37"/>
    </row>
    <row r="165" spans="1:15" s="44" customFormat="1" ht="16" customHeight="1">
      <c r="A165" s="37"/>
      <c r="B165" s="72" t="s">
        <v>50</v>
      </c>
      <c r="C165" s="61"/>
      <c r="D165" s="61">
        <f t="shared" ref="D165:I165" si="125">D90</f>
        <v>156234</v>
      </c>
      <c r="E165" s="61">
        <f t="shared" si="125"/>
        <v>153789</v>
      </c>
      <c r="F165" s="61">
        <f t="shared" si="125"/>
        <v>209789</v>
      </c>
      <c r="G165" s="61">
        <f t="shared" si="125"/>
        <v>196789</v>
      </c>
      <c r="H165" s="61">
        <f t="shared" si="125"/>
        <v>220369</v>
      </c>
      <c r="I165" s="61">
        <f t="shared" si="125"/>
        <v>225036</v>
      </c>
      <c r="J165" s="61">
        <f ca="1">SUM(J163:J164)</f>
        <v>268454.5346359766</v>
      </c>
      <c r="K165" s="61">
        <f t="shared" ref="K165:N165" ca="1" si="126">SUM(K163:K164)</f>
        <v>322998.44119567267</v>
      </c>
      <c r="L165" s="61">
        <f t="shared" ca="1" si="126"/>
        <v>401867.2669957123</v>
      </c>
      <c r="M165" s="61">
        <f t="shared" ca="1" si="126"/>
        <v>490598.87895502493</v>
      </c>
      <c r="N165" s="61">
        <f t="shared" ca="1" si="126"/>
        <v>590979.41304863128</v>
      </c>
      <c r="O165" s="37"/>
    </row>
    <row r="166" spans="1:15" s="44" customFormat="1" ht="16" customHeight="1">
      <c r="A166" s="37"/>
      <c r="B166" s="37"/>
      <c r="C166" s="37"/>
      <c r="D166" s="37"/>
      <c r="E166" s="37"/>
      <c r="F166" s="37"/>
      <c r="G166" s="37"/>
      <c r="H166" s="37"/>
      <c r="I166" s="37"/>
      <c r="J166" s="37"/>
      <c r="K166" s="37"/>
      <c r="L166" s="37"/>
      <c r="M166" s="37"/>
      <c r="N166" s="37"/>
      <c r="O166" s="37"/>
    </row>
    <row r="167" spans="1:15" s="44" customFormat="1" ht="16" customHeight="1">
      <c r="A167" s="37"/>
      <c r="B167" s="64" t="s">
        <v>133</v>
      </c>
      <c r="C167" s="37"/>
      <c r="D167" s="37"/>
      <c r="E167" s="37"/>
      <c r="F167" s="37"/>
      <c r="G167" s="37"/>
      <c r="H167" s="37"/>
      <c r="I167" s="37"/>
      <c r="J167" s="37"/>
      <c r="K167" s="37"/>
      <c r="L167" s="37"/>
      <c r="M167" s="37"/>
      <c r="N167" s="37"/>
      <c r="O167" s="37"/>
    </row>
    <row r="168" spans="1:15" s="44" customFormat="1" ht="16" customHeight="1">
      <c r="A168" s="37"/>
      <c r="B168" s="72" t="s">
        <v>48</v>
      </c>
      <c r="C168" s="37"/>
      <c r="D168" s="37"/>
      <c r="E168" s="37"/>
      <c r="F168" s="37"/>
      <c r="G168" s="37"/>
      <c r="H168" s="37"/>
      <c r="I168" s="61"/>
      <c r="J168" s="61">
        <f>I170</f>
        <v>729268</v>
      </c>
      <c r="K168" s="61">
        <f ca="1">J170</f>
        <v>869973.25567868864</v>
      </c>
      <c r="L168" s="61">
        <f ca="1">K170</f>
        <v>1046732.1993542624</v>
      </c>
      <c r="M168" s="61">
        <f ca="1">L170</f>
        <v>1302320.242394235</v>
      </c>
      <c r="N168" s="61">
        <f ca="1">M170</f>
        <v>1589870.3463346888</v>
      </c>
      <c r="O168" s="37"/>
    </row>
    <row r="169" spans="1:15" s="44" customFormat="1" ht="16" customHeight="1">
      <c r="A169" s="37"/>
      <c r="B169" s="72" t="s">
        <v>49</v>
      </c>
      <c r="C169" s="37"/>
      <c r="D169" s="37"/>
      <c r="E169" s="37"/>
      <c r="F169" s="37"/>
      <c r="G169" s="37"/>
      <c r="H169" s="37"/>
      <c r="I169" s="76"/>
      <c r="J169" s="61">
        <f ca="1">J168*J172</f>
        <v>140705.25567868864</v>
      </c>
      <c r="K169" s="61">
        <f t="shared" ref="K169:N169" ca="1" si="127">K168*K172</f>
        <v>176758.94367557377</v>
      </c>
      <c r="L169" s="61">
        <f t="shared" ca="1" si="127"/>
        <v>255588.04303997263</v>
      </c>
      <c r="M169" s="61">
        <f t="shared" ca="1" si="127"/>
        <v>287550.10394045396</v>
      </c>
      <c r="N169" s="61">
        <f t="shared" ca="1" si="127"/>
        <v>325300.44676130079</v>
      </c>
      <c r="O169" s="37"/>
    </row>
    <row r="170" spans="1:15" s="44" customFormat="1" ht="16" customHeight="1">
      <c r="A170" s="37"/>
      <c r="B170" s="72" t="s">
        <v>50</v>
      </c>
      <c r="C170" s="61"/>
      <c r="D170" s="61">
        <f t="shared" ref="D170:I170" si="128">D98</f>
        <v>296487</v>
      </c>
      <c r="E170" s="61">
        <f t="shared" si="128"/>
        <v>269756</v>
      </c>
      <c r="F170" s="61">
        <f t="shared" si="128"/>
        <v>369875</v>
      </c>
      <c r="G170" s="61">
        <f t="shared" si="128"/>
        <v>436001</v>
      </c>
      <c r="H170" s="61">
        <f t="shared" si="128"/>
        <v>698302</v>
      </c>
      <c r="I170" s="61">
        <f t="shared" si="128"/>
        <v>729268</v>
      </c>
      <c r="J170" s="61">
        <f ca="1">SUM(J168:J169)</f>
        <v>869973.25567868864</v>
      </c>
      <c r="K170" s="61">
        <f t="shared" ref="K170:N170" ca="1" si="129">SUM(K168:K169)</f>
        <v>1046732.1993542624</v>
      </c>
      <c r="L170" s="61">
        <f t="shared" ca="1" si="129"/>
        <v>1302320.242394235</v>
      </c>
      <c r="M170" s="61">
        <f t="shared" ca="1" si="129"/>
        <v>1589870.3463346888</v>
      </c>
      <c r="N170" s="61">
        <f t="shared" ca="1" si="129"/>
        <v>1915170.7930959896</v>
      </c>
      <c r="O170" s="37"/>
    </row>
    <row r="171" spans="1:15" s="44" customFormat="1" ht="16" customHeight="1">
      <c r="A171" s="37"/>
      <c r="B171" s="72"/>
      <c r="C171" s="61"/>
      <c r="D171" s="61"/>
      <c r="E171" s="61"/>
      <c r="F171" s="61"/>
      <c r="G171" s="61"/>
      <c r="H171" s="61"/>
      <c r="I171" s="61"/>
      <c r="J171" s="61"/>
      <c r="K171" s="61"/>
      <c r="L171" s="61"/>
      <c r="M171" s="61"/>
      <c r="N171" s="61"/>
      <c r="O171" s="37"/>
    </row>
    <row r="172" spans="1:15" s="44" customFormat="1" ht="16" customHeight="1">
      <c r="A172" s="37"/>
      <c r="B172" s="72" t="s">
        <v>110</v>
      </c>
      <c r="C172" s="61"/>
      <c r="D172" s="61"/>
      <c r="E172" s="61"/>
      <c r="F172" s="61"/>
      <c r="G172" s="61"/>
      <c r="H172" s="61"/>
      <c r="I172" s="61"/>
      <c r="J172" s="74">
        <f ca="1">J30</f>
        <v>0.19294039458565115</v>
      </c>
      <c r="K172" s="74">
        <f ca="1">K30</f>
        <v>0.20317744542351424</v>
      </c>
      <c r="L172" s="74">
        <f ca="1">L30</f>
        <v>0.244177109672987</v>
      </c>
      <c r="M172" s="74">
        <f ca="1">M30</f>
        <v>0.2207983064225516</v>
      </c>
      <c r="N172" s="74">
        <f ca="1">N30</f>
        <v>0.20460816035172513</v>
      </c>
      <c r="O172" s="37"/>
    </row>
    <row r="173" spans="1:15" s="44" customFormat="1" ht="16" customHeight="1">
      <c r="A173" s="37"/>
      <c r="B173" s="37"/>
      <c r="C173" s="37"/>
      <c r="D173" s="37"/>
      <c r="E173" s="37"/>
      <c r="F173" s="37"/>
      <c r="G173" s="37"/>
      <c r="H173" s="37"/>
      <c r="I173" s="37"/>
      <c r="J173" s="37"/>
      <c r="K173" s="37"/>
      <c r="L173" s="37"/>
      <c r="M173" s="37"/>
      <c r="N173" s="37"/>
      <c r="O173" s="37"/>
    </row>
    <row r="174" spans="1:15" s="44" customFormat="1" ht="16" customHeight="1">
      <c r="A174" s="37"/>
      <c r="B174" s="38" t="s">
        <v>64</v>
      </c>
      <c r="C174" s="54"/>
      <c r="D174" s="39"/>
      <c r="E174" s="39"/>
      <c r="F174" s="39"/>
      <c r="G174" s="40"/>
      <c r="H174" s="40"/>
      <c r="I174" s="40"/>
      <c r="J174" s="40"/>
      <c r="K174" s="40"/>
      <c r="L174" s="40"/>
      <c r="M174" s="40"/>
      <c r="N174" s="37"/>
      <c r="O174" s="37"/>
    </row>
    <row r="175" spans="1:15" s="44" customFormat="1" ht="16" customHeight="1">
      <c r="A175" s="37"/>
      <c r="B175" s="45" t="str">
        <f>$B$10</f>
        <v xml:space="preserve">Fiscal year  </v>
      </c>
      <c r="C175" s="46"/>
      <c r="D175" s="47">
        <f ca="1">D$10</f>
        <v>2016</v>
      </c>
      <c r="E175" s="47">
        <f t="shared" ref="E175:I175" ca="1" si="130">E$10</f>
        <v>2017</v>
      </c>
      <c r="F175" s="47">
        <f t="shared" ca="1" si="130"/>
        <v>2018</v>
      </c>
      <c r="G175" s="47">
        <f t="shared" ca="1" si="130"/>
        <v>2019</v>
      </c>
      <c r="H175" s="47">
        <f t="shared" ca="1" si="130"/>
        <v>2020</v>
      </c>
      <c r="I175" s="47">
        <f t="shared" ca="1" si="130"/>
        <v>2021</v>
      </c>
      <c r="J175" s="48">
        <f ca="1">J$10</f>
        <v>2022</v>
      </c>
      <c r="K175" s="48">
        <f t="shared" ref="K175:N175" ca="1" si="131">K$10</f>
        <v>2023</v>
      </c>
      <c r="L175" s="48">
        <f t="shared" ca="1" si="131"/>
        <v>2024</v>
      </c>
      <c r="M175" s="48">
        <f t="shared" ca="1" si="131"/>
        <v>2025</v>
      </c>
      <c r="N175" s="48">
        <f t="shared" ca="1" si="131"/>
        <v>2026</v>
      </c>
      <c r="O175" s="37"/>
    </row>
    <row r="176" spans="1:15" s="44" customFormat="1" ht="16" customHeight="1">
      <c r="A176" s="37"/>
      <c r="B176" s="51" t="str">
        <f>$B$11</f>
        <v>Fiscal year end date</v>
      </c>
      <c r="C176" s="52"/>
      <c r="D176" s="53">
        <f>D$11</f>
        <v>42460</v>
      </c>
      <c r="E176" s="53">
        <f t="shared" ref="E176:I176" si="132">E$11</f>
        <v>42825</v>
      </c>
      <c r="F176" s="53">
        <f t="shared" si="132"/>
        <v>43190</v>
      </c>
      <c r="G176" s="53">
        <f t="shared" si="132"/>
        <v>43555</v>
      </c>
      <c r="H176" s="53">
        <f t="shared" si="132"/>
        <v>43921</v>
      </c>
      <c r="I176" s="53">
        <f t="shared" si="132"/>
        <v>44286</v>
      </c>
      <c r="J176" s="54">
        <f>J$11</f>
        <v>44651</v>
      </c>
      <c r="K176" s="54">
        <f t="shared" ref="K176:N176" si="133">K$11</f>
        <v>45016</v>
      </c>
      <c r="L176" s="54">
        <f t="shared" si="133"/>
        <v>45382</v>
      </c>
      <c r="M176" s="54">
        <f t="shared" si="133"/>
        <v>45747</v>
      </c>
      <c r="N176" s="54">
        <f t="shared" si="133"/>
        <v>46112</v>
      </c>
      <c r="O176" s="37"/>
    </row>
    <row r="177" spans="1:15" s="44" customFormat="1" ht="16" customHeight="1">
      <c r="A177" s="37"/>
      <c r="B177" s="45"/>
      <c r="C177" s="45"/>
      <c r="D177" s="45"/>
      <c r="E177" s="45"/>
      <c r="F177" s="45"/>
      <c r="G177" s="45"/>
      <c r="H177" s="45"/>
      <c r="I177" s="45"/>
      <c r="J177" s="45"/>
      <c r="K177" s="45"/>
      <c r="L177" s="45"/>
      <c r="M177" s="45"/>
      <c r="N177" s="37"/>
      <c r="O177" s="37"/>
    </row>
    <row r="178" spans="1:15" s="44" customFormat="1" ht="16" customHeight="1">
      <c r="A178" s="37"/>
      <c r="B178" s="78" t="s">
        <v>86</v>
      </c>
      <c r="C178" s="37"/>
      <c r="D178" s="37"/>
      <c r="E178" s="37"/>
      <c r="F178" s="37"/>
      <c r="G178" s="37"/>
      <c r="H178" s="37"/>
      <c r="I178" s="37"/>
      <c r="J178" s="37"/>
      <c r="K178" s="37"/>
      <c r="L178" s="37"/>
      <c r="M178" s="37"/>
      <c r="N178" s="37"/>
      <c r="O178" s="37"/>
    </row>
    <row r="179" spans="1:15" s="44" customFormat="1" ht="16" customHeight="1">
      <c r="A179" s="37"/>
      <c r="B179" s="72" t="s">
        <v>48</v>
      </c>
      <c r="C179" s="37"/>
      <c r="D179" s="37"/>
      <c r="E179" s="37"/>
      <c r="F179" s="37"/>
      <c r="G179" s="37"/>
      <c r="H179" s="37"/>
      <c r="I179" s="37"/>
      <c r="J179" s="61">
        <f>I181</f>
        <v>177177</v>
      </c>
      <c r="K179" s="61">
        <f t="shared" ref="K179:N179" si="134">J181</f>
        <v>177177</v>
      </c>
      <c r="L179" s="61">
        <f t="shared" si="134"/>
        <v>177177</v>
      </c>
      <c r="M179" s="61">
        <f t="shared" si="134"/>
        <v>177177</v>
      </c>
      <c r="N179" s="61">
        <f t="shared" si="134"/>
        <v>177177</v>
      </c>
      <c r="O179" s="37"/>
    </row>
    <row r="180" spans="1:15" s="44" customFormat="1" ht="16" customHeight="1">
      <c r="A180" s="37"/>
      <c r="B180" s="72" t="s">
        <v>65</v>
      </c>
      <c r="C180" s="37"/>
      <c r="D180" s="37"/>
      <c r="E180" s="37"/>
      <c r="F180" s="37"/>
      <c r="G180" s="37"/>
      <c r="H180" s="37"/>
      <c r="I180" s="37"/>
      <c r="J180" s="96">
        <v>0</v>
      </c>
      <c r="K180" s="96">
        <v>0</v>
      </c>
      <c r="L180" s="96">
        <v>0</v>
      </c>
      <c r="M180" s="96">
        <v>0</v>
      </c>
      <c r="N180" s="96">
        <v>0</v>
      </c>
      <c r="O180" s="37"/>
    </row>
    <row r="181" spans="1:15" s="44" customFormat="1" ht="16" customHeight="1">
      <c r="A181" s="37"/>
      <c r="B181" s="72" t="s">
        <v>50</v>
      </c>
      <c r="C181" s="37"/>
      <c r="D181" s="61">
        <f t="shared" ref="D181:I181" si="135">D99</f>
        <v>2206973</v>
      </c>
      <c r="E181" s="61">
        <f t="shared" si="135"/>
        <v>2717886</v>
      </c>
      <c r="F181" s="61">
        <f t="shared" si="135"/>
        <v>2735712</v>
      </c>
      <c r="G181" s="61">
        <f t="shared" si="135"/>
        <v>1463366</v>
      </c>
      <c r="H181" s="61">
        <f t="shared" si="135"/>
        <v>387465</v>
      </c>
      <c r="I181" s="61">
        <f t="shared" si="135"/>
        <v>177177</v>
      </c>
      <c r="J181" s="61">
        <f>SUM(J179:J180)</f>
        <v>177177</v>
      </c>
      <c r="K181" s="61">
        <f>SUM(K179:K180)</f>
        <v>177177</v>
      </c>
      <c r="L181" s="61">
        <f t="shared" ref="L181:N181" si="136">SUM(L179:L180)</f>
        <v>177177</v>
      </c>
      <c r="M181" s="61">
        <f t="shared" si="136"/>
        <v>177177</v>
      </c>
      <c r="N181" s="61">
        <f t="shared" si="136"/>
        <v>177177</v>
      </c>
      <c r="O181" s="37"/>
    </row>
    <row r="182" spans="1:15" s="44" customFormat="1" ht="16" customHeight="1">
      <c r="A182" s="37"/>
      <c r="B182" s="37"/>
      <c r="C182" s="37"/>
      <c r="D182" s="37"/>
      <c r="E182" s="37"/>
      <c r="F182" s="37"/>
      <c r="G182" s="37"/>
      <c r="H182" s="37"/>
      <c r="I182" s="37"/>
      <c r="J182" s="37"/>
      <c r="K182" s="37"/>
      <c r="L182" s="37"/>
      <c r="M182" s="37"/>
      <c r="N182" s="37"/>
      <c r="O182" s="37"/>
    </row>
    <row r="183" spans="1:15" s="44" customFormat="1" ht="16" customHeight="1">
      <c r="A183" s="37"/>
      <c r="B183" s="72" t="s">
        <v>66</v>
      </c>
      <c r="C183" s="37"/>
      <c r="D183" s="77">
        <f t="shared" ref="D183:I183" si="137">-D19</f>
        <v>161402</v>
      </c>
      <c r="E183" s="77">
        <f t="shared" si="137"/>
        <v>166325</v>
      </c>
      <c r="F183" s="77">
        <f t="shared" si="137"/>
        <v>186325</v>
      </c>
      <c r="G183" s="77">
        <f t="shared" si="137"/>
        <v>96325</v>
      </c>
      <c r="H183" s="77">
        <f t="shared" si="137"/>
        <v>34325</v>
      </c>
      <c r="I183" s="77">
        <f t="shared" si="137"/>
        <v>9698</v>
      </c>
      <c r="J183" s="77">
        <f>J181*J184</f>
        <v>6024.018</v>
      </c>
      <c r="K183" s="77">
        <f t="shared" ref="K183:N183" si="138">K181*K184</f>
        <v>6024.018</v>
      </c>
      <c r="L183" s="77">
        <f t="shared" si="138"/>
        <v>6024.018</v>
      </c>
      <c r="M183" s="77">
        <f t="shared" si="138"/>
        <v>6024.018</v>
      </c>
      <c r="N183" s="77">
        <f t="shared" si="138"/>
        <v>6024.018</v>
      </c>
      <c r="O183" s="37"/>
    </row>
    <row r="184" spans="1:15" s="44" customFormat="1" ht="16" customHeight="1">
      <c r="A184" s="37"/>
      <c r="B184" s="72" t="s">
        <v>67</v>
      </c>
      <c r="C184" s="37"/>
      <c r="D184" s="124">
        <f>D183/AVERAGE(C181:D181)</f>
        <v>7.3132747885905264E-2</v>
      </c>
      <c r="E184" s="124">
        <f t="shared" ref="E184:I184" si="139">E183/AVERAGE(D181:E181)</f>
        <v>6.7545080986074937E-2</v>
      </c>
      <c r="F184" s="124">
        <f t="shared" si="139"/>
        <v>6.8331035767579498E-2</v>
      </c>
      <c r="G184" s="124">
        <f t="shared" si="139"/>
        <v>4.5879119178067182E-2</v>
      </c>
      <c r="H184" s="124">
        <f t="shared" si="139"/>
        <v>3.7091447031090359E-2</v>
      </c>
      <c r="I184" s="124">
        <f t="shared" si="139"/>
        <v>3.4350969286733896E-2</v>
      </c>
      <c r="J184" s="75">
        <v>3.4000000000000002E-2</v>
      </c>
      <c r="K184" s="75">
        <v>3.4000000000000002E-2</v>
      </c>
      <c r="L184" s="75">
        <v>3.4000000000000002E-2</v>
      </c>
      <c r="M184" s="75">
        <v>3.4000000000000002E-2</v>
      </c>
      <c r="N184" s="75">
        <v>3.4000000000000002E-2</v>
      </c>
      <c r="O184" s="37"/>
    </row>
    <row r="185" spans="1:15" s="44" customFormat="1" ht="16" customHeight="1">
      <c r="A185" s="37"/>
      <c r="B185" s="72"/>
      <c r="C185" s="37"/>
      <c r="D185" s="37"/>
      <c r="E185" s="37"/>
      <c r="F185" s="37"/>
      <c r="G185" s="37"/>
      <c r="H185" s="37"/>
      <c r="I185" s="37"/>
      <c r="J185" s="37"/>
      <c r="K185" s="37"/>
      <c r="L185" s="37"/>
      <c r="M185" s="37"/>
      <c r="N185" s="37"/>
      <c r="O185" s="37"/>
    </row>
    <row r="186" spans="1:15" s="44" customFormat="1" ht="16" customHeight="1">
      <c r="A186" s="37"/>
      <c r="B186" s="38" t="s">
        <v>68</v>
      </c>
      <c r="C186" s="54"/>
      <c r="D186" s="39"/>
      <c r="E186" s="39"/>
      <c r="F186" s="39"/>
      <c r="G186" s="40"/>
      <c r="H186" s="40"/>
      <c r="I186" s="40"/>
      <c r="J186" s="40"/>
      <c r="K186" s="40"/>
      <c r="L186" s="40"/>
      <c r="M186" s="40"/>
      <c r="N186" s="37"/>
      <c r="O186" s="37"/>
    </row>
    <row r="187" spans="1:15" s="44" customFormat="1" ht="16" customHeight="1">
      <c r="A187" s="37"/>
      <c r="B187" s="45" t="str">
        <f>$B$10</f>
        <v xml:space="preserve">Fiscal year  </v>
      </c>
      <c r="C187" s="46"/>
      <c r="D187" s="47">
        <f ca="1">D$10</f>
        <v>2016</v>
      </c>
      <c r="E187" s="47">
        <f t="shared" ref="E187:I187" ca="1" si="140">E$10</f>
        <v>2017</v>
      </c>
      <c r="F187" s="47">
        <f t="shared" ca="1" si="140"/>
        <v>2018</v>
      </c>
      <c r="G187" s="47">
        <f t="shared" ca="1" si="140"/>
        <v>2019</v>
      </c>
      <c r="H187" s="47">
        <f t="shared" ca="1" si="140"/>
        <v>2020</v>
      </c>
      <c r="I187" s="47">
        <f t="shared" ca="1" si="140"/>
        <v>2021</v>
      </c>
      <c r="J187" s="48">
        <f ca="1">J$10</f>
        <v>2022</v>
      </c>
      <c r="K187" s="48">
        <f t="shared" ref="K187:N187" ca="1" si="141">K$10</f>
        <v>2023</v>
      </c>
      <c r="L187" s="48">
        <f t="shared" ca="1" si="141"/>
        <v>2024</v>
      </c>
      <c r="M187" s="48">
        <f t="shared" ca="1" si="141"/>
        <v>2025</v>
      </c>
      <c r="N187" s="48">
        <f t="shared" ca="1" si="141"/>
        <v>2026</v>
      </c>
      <c r="O187" s="37"/>
    </row>
    <row r="188" spans="1:15" s="44" customFormat="1" ht="16" customHeight="1">
      <c r="A188" s="37"/>
      <c r="B188" s="51" t="str">
        <f>$B$11</f>
        <v>Fiscal year end date</v>
      </c>
      <c r="C188" s="52"/>
      <c r="D188" s="53">
        <f>D$11</f>
        <v>42460</v>
      </c>
      <c r="E188" s="53">
        <f t="shared" ref="E188:I188" si="142">E$11</f>
        <v>42825</v>
      </c>
      <c r="F188" s="53">
        <f t="shared" si="142"/>
        <v>43190</v>
      </c>
      <c r="G188" s="53">
        <f t="shared" si="142"/>
        <v>43555</v>
      </c>
      <c r="H188" s="53">
        <f t="shared" si="142"/>
        <v>43921</v>
      </c>
      <c r="I188" s="53">
        <f t="shared" si="142"/>
        <v>44286</v>
      </c>
      <c r="J188" s="54">
        <f>J$11</f>
        <v>44651</v>
      </c>
      <c r="K188" s="54">
        <f t="shared" ref="K188:N188" si="143">K$11</f>
        <v>45016</v>
      </c>
      <c r="L188" s="54">
        <f t="shared" si="143"/>
        <v>45382</v>
      </c>
      <c r="M188" s="54">
        <f t="shared" si="143"/>
        <v>45747</v>
      </c>
      <c r="N188" s="54">
        <f t="shared" si="143"/>
        <v>46112</v>
      </c>
      <c r="O188" s="37"/>
    </row>
    <row r="189" spans="1:15" s="44" customFormat="1" ht="16" customHeight="1">
      <c r="A189" s="37"/>
      <c r="B189" s="45"/>
      <c r="C189" s="45"/>
      <c r="D189" s="45"/>
      <c r="E189" s="45"/>
      <c r="F189" s="45"/>
      <c r="G189" s="45"/>
      <c r="H189" s="45"/>
      <c r="I189" s="45"/>
      <c r="J189" s="45"/>
      <c r="K189" s="45"/>
      <c r="L189" s="45"/>
      <c r="M189" s="45"/>
      <c r="N189" s="37"/>
      <c r="O189" s="37"/>
    </row>
    <row r="190" spans="1:15" s="44" customFormat="1" ht="16" customHeight="1">
      <c r="A190" s="37"/>
      <c r="B190" s="64" t="s">
        <v>69</v>
      </c>
      <c r="C190" s="37"/>
      <c r="D190" s="37"/>
      <c r="E190" s="37"/>
      <c r="F190" s="37"/>
      <c r="G190" s="37"/>
      <c r="H190" s="37"/>
      <c r="I190" s="37"/>
      <c r="J190" s="37"/>
      <c r="K190" s="37"/>
      <c r="L190" s="37"/>
      <c r="M190" s="37"/>
      <c r="N190" s="37"/>
      <c r="O190" s="37"/>
    </row>
    <row r="191" spans="1:15" s="44" customFormat="1" ht="16" customHeight="1">
      <c r="A191" s="37"/>
      <c r="B191" s="72" t="s">
        <v>48</v>
      </c>
      <c r="C191" s="77"/>
      <c r="D191" s="77"/>
      <c r="E191" s="77"/>
      <c r="F191" s="77"/>
      <c r="G191" s="77"/>
      <c r="H191" s="77"/>
      <c r="I191" s="77"/>
      <c r="J191" s="77">
        <f>I193</f>
        <v>500000</v>
      </c>
      <c r="K191" s="77">
        <f>J193</f>
        <v>500000</v>
      </c>
      <c r="L191" s="77">
        <f>K193</f>
        <v>500000</v>
      </c>
      <c r="M191" s="77">
        <f>L193</f>
        <v>500000</v>
      </c>
      <c r="N191" s="77">
        <f>M193</f>
        <v>500000</v>
      </c>
      <c r="O191" s="37"/>
    </row>
    <row r="192" spans="1:15" s="44" customFormat="1" ht="16" customHeight="1">
      <c r="A192" s="37"/>
      <c r="B192" s="72" t="s">
        <v>70</v>
      </c>
      <c r="C192" s="77"/>
      <c r="D192" s="77"/>
      <c r="E192" s="77"/>
      <c r="F192" s="77"/>
      <c r="G192" s="77"/>
      <c r="H192" s="77"/>
      <c r="I192" s="77"/>
      <c r="J192" s="77">
        <f>J195</f>
        <v>0</v>
      </c>
      <c r="K192" s="77">
        <f>K195</f>
        <v>0</v>
      </c>
      <c r="L192" s="77">
        <f>L195</f>
        <v>0</v>
      </c>
      <c r="M192" s="77">
        <f>M195</f>
        <v>0</v>
      </c>
      <c r="N192" s="77">
        <f>N195</f>
        <v>0</v>
      </c>
      <c r="O192" s="37"/>
    </row>
    <row r="193" spans="1:15" s="44" customFormat="1" ht="16" customHeight="1">
      <c r="A193" s="37"/>
      <c r="B193" s="72" t="s">
        <v>50</v>
      </c>
      <c r="C193" s="77"/>
      <c r="D193" s="77">
        <f t="shared" ref="D193:I193" si="144">D102</f>
        <v>500000</v>
      </c>
      <c r="E193" s="77">
        <f t="shared" si="144"/>
        <v>500000</v>
      </c>
      <c r="F193" s="77">
        <f t="shared" si="144"/>
        <v>500000</v>
      </c>
      <c r="G193" s="77">
        <f t="shared" si="144"/>
        <v>500000</v>
      </c>
      <c r="H193" s="77">
        <f t="shared" si="144"/>
        <v>500000</v>
      </c>
      <c r="I193" s="77">
        <f t="shared" si="144"/>
        <v>500000</v>
      </c>
      <c r="J193" s="77">
        <f>J191+J192</f>
        <v>500000</v>
      </c>
      <c r="K193" s="77">
        <f>K191+K192</f>
        <v>500000</v>
      </c>
      <c r="L193" s="77">
        <f>L191+L192</f>
        <v>500000</v>
      </c>
      <c r="M193" s="77">
        <f>M191+M192</f>
        <v>500000</v>
      </c>
      <c r="N193" s="77">
        <f>N191+N192</f>
        <v>500000</v>
      </c>
      <c r="O193" s="37"/>
    </row>
    <row r="194" spans="1:15" s="44" customFormat="1" ht="16" customHeight="1">
      <c r="A194" s="37"/>
      <c r="B194" s="72"/>
      <c r="C194" s="77"/>
      <c r="D194" s="77"/>
      <c r="E194" s="77"/>
      <c r="F194" s="77"/>
      <c r="G194" s="77"/>
      <c r="H194" s="77"/>
      <c r="I194" s="77"/>
      <c r="J194" s="77"/>
      <c r="K194" s="77"/>
      <c r="L194" s="77"/>
      <c r="M194" s="77"/>
      <c r="N194" s="77"/>
      <c r="O194" s="37"/>
    </row>
    <row r="195" spans="1:15" s="44" customFormat="1" ht="16" customHeight="1">
      <c r="A195" s="37"/>
      <c r="B195" s="72" t="s">
        <v>71</v>
      </c>
      <c r="C195" s="77"/>
      <c r="D195" s="76">
        <v>0</v>
      </c>
      <c r="E195" s="76">
        <v>0</v>
      </c>
      <c r="F195" s="76">
        <v>0</v>
      </c>
      <c r="G195" s="76">
        <v>0</v>
      </c>
      <c r="H195" s="76">
        <v>0</v>
      </c>
      <c r="I195" s="76">
        <v>0</v>
      </c>
      <c r="J195" s="76">
        <v>0</v>
      </c>
      <c r="K195" s="76">
        <v>0</v>
      </c>
      <c r="L195" s="76">
        <v>0</v>
      </c>
      <c r="M195" s="76">
        <v>0</v>
      </c>
      <c r="N195" s="76">
        <v>0</v>
      </c>
      <c r="O195" s="37"/>
    </row>
    <row r="196" spans="1:15" s="44" customFormat="1" ht="16" customHeight="1">
      <c r="A196" s="37"/>
      <c r="B196" s="72"/>
      <c r="C196" s="76"/>
      <c r="D196" s="37"/>
      <c r="E196" s="37"/>
      <c r="F196" s="37"/>
      <c r="G196" s="37"/>
      <c r="H196" s="37"/>
      <c r="I196" s="37"/>
      <c r="J196" s="37"/>
      <c r="K196" s="37"/>
      <c r="L196" s="37"/>
      <c r="M196" s="37"/>
      <c r="N196" s="37"/>
      <c r="O196" s="37"/>
    </row>
    <row r="197" spans="1:15" s="44" customFormat="1" ht="16" customHeight="1">
      <c r="A197" s="37"/>
      <c r="B197" s="64" t="s">
        <v>72</v>
      </c>
      <c r="C197" s="77"/>
      <c r="D197" s="77"/>
      <c r="E197" s="77"/>
      <c r="F197" s="77"/>
      <c r="G197" s="77"/>
      <c r="H197" s="77"/>
      <c r="I197" s="37"/>
      <c r="J197" s="37"/>
      <c r="K197" s="37"/>
      <c r="L197" s="37"/>
      <c r="M197" s="37"/>
      <c r="N197" s="37"/>
      <c r="O197" s="37"/>
    </row>
    <row r="198" spans="1:15" s="44" customFormat="1" ht="16" customHeight="1">
      <c r="A198" s="37"/>
      <c r="B198" s="72" t="s">
        <v>48</v>
      </c>
      <c r="C198" s="77"/>
      <c r="D198" s="77"/>
      <c r="E198" s="77"/>
      <c r="F198" s="77"/>
      <c r="G198" s="77"/>
      <c r="H198" s="77"/>
      <c r="I198" s="77"/>
      <c r="J198" s="77">
        <f>I200</f>
        <v>1000000</v>
      </c>
      <c r="K198" s="77">
        <f>J200</f>
        <v>1000000</v>
      </c>
      <c r="L198" s="77">
        <f>K200</f>
        <v>1000000</v>
      </c>
      <c r="M198" s="77">
        <f>L200</f>
        <v>1000000</v>
      </c>
      <c r="N198" s="77">
        <f>M200</f>
        <v>1000000</v>
      </c>
      <c r="O198" s="37"/>
    </row>
    <row r="199" spans="1:15" s="44" customFormat="1" ht="16" customHeight="1">
      <c r="A199" s="37"/>
      <c r="B199" s="72" t="s">
        <v>134</v>
      </c>
      <c r="C199" s="77"/>
      <c r="D199" s="77"/>
      <c r="E199" s="77"/>
      <c r="F199" s="77"/>
      <c r="G199" s="77"/>
      <c r="H199" s="77"/>
      <c r="I199" s="77"/>
      <c r="J199" s="77">
        <f>J202</f>
        <v>0</v>
      </c>
      <c r="K199" s="77">
        <f>K202</f>
        <v>0</v>
      </c>
      <c r="L199" s="77">
        <f>L202</f>
        <v>0</v>
      </c>
      <c r="M199" s="77">
        <f>M202</f>
        <v>0</v>
      </c>
      <c r="N199" s="77">
        <f>N202</f>
        <v>0</v>
      </c>
      <c r="O199" s="37"/>
    </row>
    <row r="200" spans="1:15" s="44" customFormat="1" ht="16" customHeight="1">
      <c r="A200" s="37"/>
      <c r="B200" s="72" t="s">
        <v>50</v>
      </c>
      <c r="C200" s="77"/>
      <c r="D200" s="77">
        <f t="shared" ref="D200:I200" si="145">D104</f>
        <v>1000000</v>
      </c>
      <c r="E200" s="77">
        <f t="shared" si="145"/>
        <v>1000000</v>
      </c>
      <c r="F200" s="77">
        <f t="shared" si="145"/>
        <v>1000000</v>
      </c>
      <c r="G200" s="77">
        <f t="shared" si="145"/>
        <v>1000000</v>
      </c>
      <c r="H200" s="77">
        <f t="shared" si="145"/>
        <v>1000000</v>
      </c>
      <c r="I200" s="77">
        <f t="shared" si="145"/>
        <v>1000000</v>
      </c>
      <c r="J200" s="77">
        <f>J198+J199</f>
        <v>1000000</v>
      </c>
      <c r="K200" s="77">
        <f>K198+K199</f>
        <v>1000000</v>
      </c>
      <c r="L200" s="77">
        <f>L198+L199</f>
        <v>1000000</v>
      </c>
      <c r="M200" s="77">
        <f>M198+M199</f>
        <v>1000000</v>
      </c>
      <c r="N200" s="77">
        <f>N198+N199</f>
        <v>1000000</v>
      </c>
      <c r="O200" s="37"/>
    </row>
    <row r="201" spans="1:15" s="44" customFormat="1" ht="16" customHeight="1">
      <c r="A201" s="37"/>
      <c r="B201" s="37"/>
      <c r="C201" s="77"/>
      <c r="D201" s="77"/>
      <c r="E201" s="77"/>
      <c r="F201" s="77"/>
      <c r="G201" s="77"/>
      <c r="H201" s="77"/>
      <c r="I201" s="37"/>
      <c r="J201" s="37"/>
      <c r="K201" s="37"/>
      <c r="L201" s="37"/>
      <c r="M201" s="37"/>
      <c r="N201" s="37"/>
      <c r="O201" s="37"/>
    </row>
    <row r="202" spans="1:15" s="44" customFormat="1" ht="16" customHeight="1">
      <c r="A202" s="37"/>
      <c r="B202" s="72" t="s">
        <v>88</v>
      </c>
      <c r="C202" s="76"/>
      <c r="D202" s="76">
        <v>0</v>
      </c>
      <c r="E202" s="76">
        <v>0</v>
      </c>
      <c r="F202" s="76">
        <v>0</v>
      </c>
      <c r="G202" s="76">
        <v>0</v>
      </c>
      <c r="H202" s="76">
        <v>0</v>
      </c>
      <c r="I202" s="76">
        <v>0</v>
      </c>
      <c r="J202" s="76">
        <v>0</v>
      </c>
      <c r="K202" s="76">
        <v>0</v>
      </c>
      <c r="L202" s="76">
        <v>0</v>
      </c>
      <c r="M202" s="76">
        <v>0</v>
      </c>
      <c r="N202" s="76">
        <v>0</v>
      </c>
      <c r="O202" s="37"/>
    </row>
    <row r="203" spans="1:15" s="44" customFormat="1" ht="16" customHeight="1">
      <c r="A203" s="37"/>
      <c r="B203" s="37"/>
      <c r="C203" s="37"/>
      <c r="D203" s="37"/>
      <c r="E203" s="37"/>
      <c r="F203" s="37"/>
      <c r="G203" s="37"/>
      <c r="H203" s="37"/>
      <c r="I203" s="37"/>
      <c r="J203" s="37"/>
      <c r="K203" s="37"/>
      <c r="L203" s="37"/>
      <c r="M203" s="37"/>
      <c r="N203" s="37"/>
      <c r="O203" s="37"/>
    </row>
    <row r="204" spans="1:15" s="44" customFormat="1" ht="16" customHeight="1">
      <c r="A204" s="37"/>
      <c r="B204" s="38" t="s">
        <v>73</v>
      </c>
      <c r="C204" s="54"/>
      <c r="D204" s="39"/>
      <c r="E204" s="39"/>
      <c r="F204" s="39"/>
      <c r="G204" s="40"/>
      <c r="H204" s="40"/>
      <c r="I204" s="40"/>
      <c r="J204" s="40"/>
      <c r="K204" s="40"/>
      <c r="L204" s="40"/>
      <c r="M204" s="40"/>
      <c r="N204" s="37"/>
      <c r="O204" s="37"/>
    </row>
    <row r="205" spans="1:15" s="44" customFormat="1" ht="16" customHeight="1">
      <c r="A205" s="37"/>
      <c r="B205" s="45" t="str">
        <f>$B$10</f>
        <v xml:space="preserve">Fiscal year  </v>
      </c>
      <c r="C205" s="46"/>
      <c r="D205" s="47">
        <f ca="1">D$10</f>
        <v>2016</v>
      </c>
      <c r="E205" s="47">
        <f t="shared" ref="E205:I205" ca="1" si="146">E$10</f>
        <v>2017</v>
      </c>
      <c r="F205" s="47">
        <f t="shared" ca="1" si="146"/>
        <v>2018</v>
      </c>
      <c r="G205" s="47">
        <f t="shared" ca="1" si="146"/>
        <v>2019</v>
      </c>
      <c r="H205" s="47">
        <f t="shared" ca="1" si="146"/>
        <v>2020</v>
      </c>
      <c r="I205" s="47">
        <f t="shared" ca="1" si="146"/>
        <v>2021</v>
      </c>
      <c r="J205" s="48">
        <f ca="1">J$10</f>
        <v>2022</v>
      </c>
      <c r="K205" s="48">
        <f t="shared" ref="K205:N205" ca="1" si="147">K$10</f>
        <v>2023</v>
      </c>
      <c r="L205" s="48">
        <f t="shared" ca="1" si="147"/>
        <v>2024</v>
      </c>
      <c r="M205" s="48">
        <f t="shared" ca="1" si="147"/>
        <v>2025</v>
      </c>
      <c r="N205" s="48">
        <f t="shared" ca="1" si="147"/>
        <v>2026</v>
      </c>
      <c r="O205" s="37"/>
    </row>
    <row r="206" spans="1:15" s="44" customFormat="1" ht="16" customHeight="1">
      <c r="A206" s="37"/>
      <c r="B206" s="51" t="str">
        <f>$B$11</f>
        <v>Fiscal year end date</v>
      </c>
      <c r="C206" s="52"/>
      <c r="D206" s="53">
        <f>D$11</f>
        <v>42460</v>
      </c>
      <c r="E206" s="53">
        <f t="shared" ref="E206:I206" si="148">E$11</f>
        <v>42825</v>
      </c>
      <c r="F206" s="53">
        <f t="shared" si="148"/>
        <v>43190</v>
      </c>
      <c r="G206" s="53">
        <f t="shared" si="148"/>
        <v>43555</v>
      </c>
      <c r="H206" s="53">
        <f t="shared" si="148"/>
        <v>43921</v>
      </c>
      <c r="I206" s="53">
        <f t="shared" si="148"/>
        <v>44286</v>
      </c>
      <c r="J206" s="54">
        <f>J$11</f>
        <v>44651</v>
      </c>
      <c r="K206" s="54">
        <f t="shared" ref="K206:N206" si="149">K$11</f>
        <v>45016</v>
      </c>
      <c r="L206" s="54">
        <f t="shared" si="149"/>
        <v>45382</v>
      </c>
      <c r="M206" s="54">
        <f t="shared" si="149"/>
        <v>45747</v>
      </c>
      <c r="N206" s="54">
        <f t="shared" si="149"/>
        <v>46112</v>
      </c>
      <c r="O206" s="37"/>
    </row>
    <row r="207" spans="1:15" s="44" customFormat="1" ht="16" customHeight="1">
      <c r="A207" s="37"/>
      <c r="B207" s="45"/>
      <c r="C207" s="45"/>
      <c r="D207" s="45"/>
      <c r="E207" s="45"/>
      <c r="F207" s="45"/>
      <c r="G207" s="45"/>
      <c r="H207" s="45"/>
      <c r="I207" s="45"/>
      <c r="J207" s="45"/>
      <c r="K207" s="45"/>
      <c r="L207" s="45"/>
      <c r="M207" s="45"/>
      <c r="N207" s="37"/>
      <c r="O207" s="37"/>
    </row>
    <row r="208" spans="1:15" s="44" customFormat="1" ht="16" customHeight="1">
      <c r="A208" s="37"/>
      <c r="B208" s="64" t="s">
        <v>74</v>
      </c>
      <c r="C208" s="77"/>
      <c r="D208" s="77"/>
      <c r="E208" s="77"/>
      <c r="F208" s="77"/>
      <c r="G208" s="77"/>
      <c r="H208" s="77"/>
      <c r="I208" s="77"/>
      <c r="J208" s="77"/>
      <c r="K208" s="77"/>
      <c r="L208" s="77"/>
      <c r="M208" s="77"/>
      <c r="N208" s="37"/>
      <c r="O208" s="37"/>
    </row>
    <row r="209" spans="1:16" s="44" customFormat="1" ht="16" customHeight="1">
      <c r="A209" s="37"/>
      <c r="B209" s="72" t="s">
        <v>48</v>
      </c>
      <c r="C209" s="77"/>
      <c r="D209" s="77"/>
      <c r="E209" s="98"/>
      <c r="F209" s="77"/>
      <c r="G209" s="77"/>
      <c r="H209" s="77"/>
      <c r="I209" s="77"/>
      <c r="J209" s="77">
        <f>I212</f>
        <v>16587682</v>
      </c>
      <c r="K209" s="77">
        <f ca="1">J212</f>
        <v>18367951.623289678</v>
      </c>
      <c r="L209" s="77">
        <f ca="1">K212</f>
        <v>20509296.528707914</v>
      </c>
      <c r="M209" s="77">
        <f ca="1">L212</f>
        <v>23168522.17400182</v>
      </c>
      <c r="N209" s="77">
        <f ca="1">M212</f>
        <v>26403076.085602462</v>
      </c>
      <c r="O209" s="37"/>
    </row>
    <row r="210" spans="1:16" s="44" customFormat="1" ht="16" customHeight="1">
      <c r="A210" s="37"/>
      <c r="B210" s="72" t="s">
        <v>75</v>
      </c>
      <c r="C210" s="77"/>
      <c r="D210" s="77"/>
      <c r="E210" s="98"/>
      <c r="F210" s="77"/>
      <c r="G210" s="77"/>
      <c r="H210" s="77"/>
      <c r="I210" s="77"/>
      <c r="J210" s="77">
        <f ca="1">J24</f>
        <v>3956154.7184215067</v>
      </c>
      <c r="K210" s="77">
        <f ca="1">K24</f>
        <v>4758544.2342627412</v>
      </c>
      <c r="L210" s="77">
        <f ca="1">L24</f>
        <v>5909390.3228753526</v>
      </c>
      <c r="M210" s="77">
        <f ca="1">M24</f>
        <v>7187897.5813347623</v>
      </c>
      <c r="N210" s="77">
        <f ca="1">N24</f>
        <v>8614430.1364830062</v>
      </c>
      <c r="O210" s="37"/>
      <c r="P210" s="120"/>
    </row>
    <row r="211" spans="1:16" s="44" customFormat="1" ht="16" customHeight="1">
      <c r="A211" s="37"/>
      <c r="B211" s="72" t="s">
        <v>76</v>
      </c>
      <c r="C211" s="77"/>
      <c r="D211" s="77"/>
      <c r="E211" s="98"/>
      <c r="F211" s="77"/>
      <c r="G211" s="77"/>
      <c r="H211" s="77"/>
      <c r="I211" s="77"/>
      <c r="J211" s="77">
        <f ca="1">J216</f>
        <v>-2175885.0951318289</v>
      </c>
      <c r="K211" s="77">
        <f ca="1">K216</f>
        <v>-2617199.3288445077</v>
      </c>
      <c r="L211" s="77">
        <f ca="1">L216</f>
        <v>-3250164.6775814444</v>
      </c>
      <c r="M211" s="77">
        <f ca="1">M216</f>
        <v>-3953343.6697341194</v>
      </c>
      <c r="N211" s="77">
        <f ca="1">N216</f>
        <v>-4737936.5750656528</v>
      </c>
      <c r="O211" s="37"/>
    </row>
    <row r="212" spans="1:16" s="44" customFormat="1" ht="16" customHeight="1">
      <c r="A212" s="37"/>
      <c r="B212" s="72" t="s">
        <v>50</v>
      </c>
      <c r="C212" s="77"/>
      <c r="D212" s="77">
        <f t="shared" ref="D212:I212" si="150">D103</f>
        <v>3064519</v>
      </c>
      <c r="E212" s="77">
        <f t="shared" si="150"/>
        <v>4680214</v>
      </c>
      <c r="F212" s="77">
        <f t="shared" si="150"/>
        <v>6968501</v>
      </c>
      <c r="G212" s="77">
        <f t="shared" si="150"/>
        <v>9252129</v>
      </c>
      <c r="H212" s="77">
        <f t="shared" si="150"/>
        <v>12601592</v>
      </c>
      <c r="I212" s="77">
        <f t="shared" si="150"/>
        <v>16587682</v>
      </c>
      <c r="J212" s="77">
        <f ca="1">SUM(J209:J211)</f>
        <v>18367951.623289678</v>
      </c>
      <c r="K212" s="77">
        <f ca="1">SUM(K209:K211)</f>
        <v>20509296.528707914</v>
      </c>
      <c r="L212" s="77">
        <f ca="1">SUM(L209:L211)</f>
        <v>23168522.17400182</v>
      </c>
      <c r="M212" s="77">
        <f ca="1">SUM(M209:M211)</f>
        <v>26403076.085602462</v>
      </c>
      <c r="N212" s="77">
        <f ca="1">SUM(N209:N211)</f>
        <v>30279569.647019815</v>
      </c>
      <c r="O212" s="37"/>
    </row>
    <row r="213" spans="1:16" s="44" customFormat="1" ht="16" customHeight="1">
      <c r="A213" s="37"/>
      <c r="B213" s="37"/>
      <c r="C213" s="77"/>
      <c r="D213" s="77"/>
      <c r="E213" s="37"/>
      <c r="F213" s="37"/>
      <c r="G213" s="37"/>
      <c r="H213" s="37"/>
      <c r="I213" s="77"/>
      <c r="J213" s="77"/>
      <c r="K213" s="77"/>
      <c r="L213" s="77"/>
      <c r="M213" s="77"/>
      <c r="N213" s="77"/>
      <c r="O213" s="37"/>
    </row>
    <row r="214" spans="1:16" s="44" customFormat="1" ht="16" customHeight="1">
      <c r="A214" s="37"/>
      <c r="B214" s="72" t="s">
        <v>77</v>
      </c>
      <c r="C214" s="77"/>
      <c r="D214" s="77">
        <f t="shared" ref="D214:N214" si="151">D24</f>
        <v>945878.6880000002</v>
      </c>
      <c r="E214" s="77">
        <f t="shared" si="151"/>
        <v>1438916.9992000002</v>
      </c>
      <c r="F214" s="77">
        <f t="shared" si="151"/>
        <v>1438318.4623999998</v>
      </c>
      <c r="G214" s="77">
        <f t="shared" si="151"/>
        <v>2356565.2519999994</v>
      </c>
      <c r="H214" s="77">
        <f t="shared" si="151"/>
        <v>2926534.6704000002</v>
      </c>
      <c r="I214" s="77">
        <f t="shared" si="151"/>
        <v>3317130.5640000007</v>
      </c>
      <c r="J214" s="77">
        <f t="shared" ca="1" si="151"/>
        <v>3956154.7184215067</v>
      </c>
      <c r="K214" s="77">
        <f t="shared" ca="1" si="151"/>
        <v>4758544.2342627412</v>
      </c>
      <c r="L214" s="77">
        <f t="shared" ca="1" si="151"/>
        <v>5909390.3228753526</v>
      </c>
      <c r="M214" s="77">
        <f t="shared" ca="1" si="151"/>
        <v>7187897.5813347623</v>
      </c>
      <c r="N214" s="77">
        <f t="shared" ca="1" si="151"/>
        <v>8614430.1364830062</v>
      </c>
      <c r="O214" s="77"/>
      <c r="P214" s="120"/>
    </row>
    <row r="215" spans="1:16" s="44" customFormat="1" ht="16" customHeight="1">
      <c r="A215" s="37"/>
      <c r="B215" s="72" t="s">
        <v>78</v>
      </c>
      <c r="C215" s="73"/>
      <c r="D215" s="73">
        <f t="shared" ref="D215:I215" si="152">-(D216/D214)</f>
        <v>0.13743834346757158</v>
      </c>
      <c r="E215" s="73">
        <f t="shared" si="152"/>
        <v>9.0345725342237643E-2</v>
      </c>
      <c r="F215" s="73">
        <f t="shared" si="152"/>
        <v>9.0383321495491373E-2</v>
      </c>
      <c r="G215" s="73">
        <f t="shared" si="152"/>
        <v>5.5165033045306074E-2</v>
      </c>
      <c r="H215" s="73">
        <f t="shared" si="152"/>
        <v>4.4421137844313167E-2</v>
      </c>
      <c r="I215" s="73">
        <f t="shared" si="152"/>
        <v>3.9190498381600623E-2</v>
      </c>
      <c r="J215" s="89">
        <v>0.55000000000000004</v>
      </c>
      <c r="K215" s="89">
        <v>0.55000000000000004</v>
      </c>
      <c r="L215" s="89">
        <v>0.55000000000000004</v>
      </c>
      <c r="M215" s="89">
        <v>0.55000000000000004</v>
      </c>
      <c r="N215" s="89">
        <v>0.55000000000000004</v>
      </c>
      <c r="O215" s="37"/>
    </row>
    <row r="216" spans="1:16" s="44" customFormat="1" ht="16" customHeight="1">
      <c r="A216" s="37"/>
      <c r="B216" s="72" t="s">
        <v>79</v>
      </c>
      <c r="C216" s="59"/>
      <c r="D216" s="59">
        <v>-130000</v>
      </c>
      <c r="E216" s="59">
        <v>-130000</v>
      </c>
      <c r="F216" s="59">
        <v>-130000</v>
      </c>
      <c r="G216" s="59">
        <v>-130000</v>
      </c>
      <c r="H216" s="59">
        <v>-130000</v>
      </c>
      <c r="I216" s="59">
        <v>-130000</v>
      </c>
      <c r="J216" s="77">
        <f ca="1">-(J214*J215)</f>
        <v>-2175885.0951318289</v>
      </c>
      <c r="K216" s="77">
        <f ca="1">-(K214*K215)</f>
        <v>-2617199.3288445077</v>
      </c>
      <c r="L216" s="77">
        <f ca="1">-(L214*L215)</f>
        <v>-3250164.6775814444</v>
      </c>
      <c r="M216" s="77">
        <f ca="1">-(M214*M215)</f>
        <v>-3953343.6697341194</v>
      </c>
      <c r="N216" s="77">
        <f ca="1">-(N214*N215)</f>
        <v>-4737936.5750656538</v>
      </c>
      <c r="O216" s="37"/>
    </row>
    <row r="217" spans="1:16" s="44" customFormat="1" ht="16" customHeight="1">
      <c r="A217" s="37"/>
      <c r="B217" s="37"/>
      <c r="C217" s="77"/>
      <c r="D217" s="77"/>
      <c r="E217" s="77"/>
      <c r="F217" s="77"/>
      <c r="G217" s="77"/>
      <c r="H217" s="77"/>
      <c r="I217" s="77"/>
      <c r="J217" s="77"/>
      <c r="K217" s="77"/>
      <c r="L217" s="77"/>
      <c r="M217" s="77"/>
      <c r="N217" s="37"/>
      <c r="O217" s="37"/>
    </row>
    <row r="218" spans="1:16" s="44" customFormat="1" ht="16" customHeight="1">
      <c r="A218" s="37"/>
      <c r="B218" s="38" t="s">
        <v>80</v>
      </c>
      <c r="C218" s="54"/>
      <c r="D218" s="39"/>
      <c r="E218" s="39"/>
      <c r="F218" s="39"/>
      <c r="G218" s="40"/>
      <c r="H218" s="40"/>
      <c r="I218" s="40"/>
      <c r="J218" s="40"/>
      <c r="K218" s="40"/>
      <c r="L218" s="40"/>
      <c r="M218" s="40"/>
      <c r="N218" s="37"/>
      <c r="O218" s="37"/>
    </row>
    <row r="219" spans="1:16" s="44" customFormat="1" ht="16" customHeight="1">
      <c r="A219" s="37"/>
      <c r="B219" s="45" t="str">
        <f>$B$10</f>
        <v xml:space="preserve">Fiscal year  </v>
      </c>
      <c r="C219" s="46"/>
      <c r="D219" s="47">
        <f ca="1">D$10</f>
        <v>2016</v>
      </c>
      <c r="E219" s="47">
        <f t="shared" ref="E219:I219" ca="1" si="153">E$10</f>
        <v>2017</v>
      </c>
      <c r="F219" s="47">
        <f t="shared" ca="1" si="153"/>
        <v>2018</v>
      </c>
      <c r="G219" s="47">
        <f t="shared" ca="1" si="153"/>
        <v>2019</v>
      </c>
      <c r="H219" s="47">
        <f t="shared" ca="1" si="153"/>
        <v>2020</v>
      </c>
      <c r="I219" s="47">
        <f t="shared" ca="1" si="153"/>
        <v>2021</v>
      </c>
      <c r="J219" s="48">
        <f ca="1">J$10</f>
        <v>2022</v>
      </c>
      <c r="K219" s="48">
        <f t="shared" ref="K219:N219" ca="1" si="154">K$10</f>
        <v>2023</v>
      </c>
      <c r="L219" s="48">
        <f t="shared" ca="1" si="154"/>
        <v>2024</v>
      </c>
      <c r="M219" s="48">
        <f t="shared" ca="1" si="154"/>
        <v>2025</v>
      </c>
      <c r="N219" s="48">
        <f t="shared" ca="1" si="154"/>
        <v>2026</v>
      </c>
      <c r="O219" s="37"/>
    </row>
    <row r="220" spans="1:16" s="44" customFormat="1" ht="16" customHeight="1">
      <c r="A220" s="37"/>
      <c r="B220" s="51" t="str">
        <f>$B$11</f>
        <v>Fiscal year end date</v>
      </c>
      <c r="C220" s="52"/>
      <c r="D220" s="53">
        <f>D$11</f>
        <v>42460</v>
      </c>
      <c r="E220" s="53">
        <f t="shared" ref="E220:I220" si="155">E$11</f>
        <v>42825</v>
      </c>
      <c r="F220" s="53">
        <f t="shared" si="155"/>
        <v>43190</v>
      </c>
      <c r="G220" s="53">
        <f t="shared" si="155"/>
        <v>43555</v>
      </c>
      <c r="H220" s="53">
        <f t="shared" si="155"/>
        <v>43921</v>
      </c>
      <c r="I220" s="53">
        <f t="shared" si="155"/>
        <v>44286</v>
      </c>
      <c r="J220" s="54">
        <f>J$11</f>
        <v>44651</v>
      </c>
      <c r="K220" s="54">
        <f t="shared" ref="K220:N220" si="156">K$11</f>
        <v>45016</v>
      </c>
      <c r="L220" s="54">
        <f t="shared" si="156"/>
        <v>45382</v>
      </c>
      <c r="M220" s="54">
        <f t="shared" si="156"/>
        <v>45747</v>
      </c>
      <c r="N220" s="54">
        <f t="shared" si="156"/>
        <v>46112</v>
      </c>
      <c r="O220" s="37"/>
    </row>
    <row r="221" spans="1:16" s="44" customFormat="1" ht="16" customHeight="1">
      <c r="A221" s="37"/>
      <c r="B221" s="45"/>
      <c r="C221" s="45"/>
      <c r="D221" s="45"/>
      <c r="E221" s="45"/>
      <c r="F221" s="45"/>
      <c r="G221" s="45"/>
      <c r="H221" s="45"/>
      <c r="I221" s="45"/>
      <c r="J221" s="45"/>
      <c r="K221" s="45"/>
      <c r="L221" s="45"/>
      <c r="M221" s="45"/>
      <c r="N221" s="37"/>
      <c r="O221" s="37"/>
    </row>
    <row r="222" spans="1:16" s="44" customFormat="1" ht="16" customHeight="1">
      <c r="A222" s="37"/>
      <c r="B222" s="37" t="s">
        <v>77</v>
      </c>
      <c r="C222" s="37"/>
      <c r="D222" s="77"/>
      <c r="E222" s="77"/>
      <c r="F222" s="77"/>
      <c r="G222" s="77"/>
      <c r="H222" s="77"/>
      <c r="I222" s="77"/>
      <c r="J222" s="77">
        <f ca="1">J24</f>
        <v>3956154.7184215067</v>
      </c>
      <c r="K222" s="77">
        <f ca="1">K24</f>
        <v>4758544.2342627412</v>
      </c>
      <c r="L222" s="77">
        <f ca="1">L24</f>
        <v>5909390.3228753526</v>
      </c>
      <c r="M222" s="77">
        <f ca="1">M24</f>
        <v>7187897.5813347623</v>
      </c>
      <c r="N222" s="77">
        <f ca="1">N24</f>
        <v>8614430.1364830062</v>
      </c>
      <c r="O222" s="37"/>
    </row>
    <row r="223" spans="1:16" s="44" customFormat="1" ht="16" customHeight="1">
      <c r="A223" s="37"/>
      <c r="B223" s="37" t="s">
        <v>81</v>
      </c>
      <c r="C223" s="37"/>
      <c r="D223" s="77"/>
      <c r="E223" s="77"/>
      <c r="F223" s="77"/>
      <c r="G223" s="77"/>
      <c r="H223" s="77"/>
      <c r="I223" s="77"/>
      <c r="J223" s="77">
        <f ca="1">J36</f>
        <v>445092.38526490849</v>
      </c>
      <c r="K223" s="77">
        <f>K36</f>
        <v>443646.40809299838</v>
      </c>
      <c r="L223" s="77">
        <f>L36</f>
        <v>443646.40809299838</v>
      </c>
      <c r="M223" s="77">
        <f>M36</f>
        <v>443646.40809299838</v>
      </c>
      <c r="N223" s="77">
        <f>N36</f>
        <v>443646.40809299838</v>
      </c>
      <c r="O223" s="37"/>
      <c r="P223" s="120"/>
    </row>
    <row r="224" spans="1:16" s="44" customFormat="1" ht="16" customHeight="1">
      <c r="A224" s="37"/>
      <c r="B224" s="37" t="s">
        <v>32</v>
      </c>
      <c r="C224" s="37"/>
      <c r="D224" s="37"/>
      <c r="E224" s="77"/>
      <c r="F224" s="77"/>
      <c r="G224" s="77"/>
      <c r="H224" s="77"/>
      <c r="I224" s="77"/>
      <c r="J224" s="77">
        <f ca="1">-(J122)</f>
        <v>-959399.48727791198</v>
      </c>
      <c r="K224" s="77">
        <f ca="1">-(K122)</f>
        <v>-2084723.8145810645</v>
      </c>
      <c r="L224" s="77">
        <f ca="1">-(L122)</f>
        <v>-3014447.0710662678</v>
      </c>
      <c r="M224" s="77">
        <f ca="1">-(M122)</f>
        <v>-3391412.8309693225</v>
      </c>
      <c r="N224" s="77">
        <f ca="1">-(N122)</f>
        <v>-3836646.53202416</v>
      </c>
      <c r="O224" s="37"/>
    </row>
    <row r="225" spans="1:15" s="44" customFormat="1" ht="16" customHeight="1">
      <c r="A225" s="37"/>
      <c r="B225" s="37" t="s">
        <v>82</v>
      </c>
      <c r="C225" s="37"/>
      <c r="D225" s="37"/>
      <c r="E225" s="77"/>
      <c r="F225" s="77"/>
      <c r="G225" s="77"/>
      <c r="H225" s="77"/>
      <c r="I225" s="77"/>
      <c r="J225" s="77">
        <f ca="1">-(J130)</f>
        <v>-998740.43422527052</v>
      </c>
      <c r="K225" s="77">
        <f ca="1">-(K130)</f>
        <v>-1874861.6172465682</v>
      </c>
      <c r="L225" s="77">
        <f ca="1">-(L130)</f>
        <v>-2710992.7325789332</v>
      </c>
      <c r="M225" s="77">
        <f ca="1">-(M130)</f>
        <v>-3050010.6059850771</v>
      </c>
      <c r="N225" s="77">
        <f ca="1">-(N130)</f>
        <v>-3450424.1144670583</v>
      </c>
      <c r="O225" s="37"/>
    </row>
    <row r="226" spans="1:15" s="44" customFormat="1" ht="16" customHeight="1">
      <c r="A226" s="37"/>
      <c r="B226" s="37" t="s">
        <v>56</v>
      </c>
      <c r="C226" s="37"/>
      <c r="D226" s="37"/>
      <c r="E226" s="77"/>
      <c r="F226" s="77"/>
      <c r="G226" s="77"/>
      <c r="H226" s="77"/>
      <c r="I226" s="77"/>
      <c r="J226" s="77">
        <f ca="1">J138</f>
        <v>695370.93893828616</v>
      </c>
      <c r="K226" s="77">
        <f ca="1">K138</f>
        <v>873549.62990020029</v>
      </c>
      <c r="L226" s="77">
        <f ca="1">L138</f>
        <v>1263126.1296417136</v>
      </c>
      <c r="M226" s="77">
        <f ca="1">M138</f>
        <v>1421083.8877606383</v>
      </c>
      <c r="N226" s="77">
        <f ca="1">N138</f>
        <v>1607647.5620733937</v>
      </c>
      <c r="O226" s="37"/>
    </row>
    <row r="227" spans="1:15" s="44" customFormat="1" ht="16" customHeight="1">
      <c r="A227" s="37"/>
      <c r="B227" s="37" t="s">
        <v>33</v>
      </c>
      <c r="C227" s="37"/>
      <c r="D227" s="37"/>
      <c r="E227" s="77"/>
      <c r="F227" s="77"/>
      <c r="G227" s="77"/>
      <c r="H227" s="77"/>
      <c r="I227" s="77"/>
      <c r="J227" s="77">
        <f ca="1">-(J164)</f>
        <v>-43418.53463597659</v>
      </c>
      <c r="K227" s="77">
        <f ca="1">-(K164)</f>
        <v>-54543.90655969605</v>
      </c>
      <c r="L227" s="77">
        <f ca="1">-(L164)</f>
        <v>-78868.825800039602</v>
      </c>
      <c r="M227" s="77">
        <f ca="1">-(M164)</f>
        <v>-88731.61195931265</v>
      </c>
      <c r="N227" s="77">
        <f ca="1">-(N164)</f>
        <v>-100380.53409360633</v>
      </c>
      <c r="O227" s="37"/>
    </row>
    <row r="228" spans="1:15" s="44" customFormat="1" ht="16" customHeight="1">
      <c r="A228" s="37"/>
      <c r="B228" s="37" t="s">
        <v>133</v>
      </c>
      <c r="C228" s="37"/>
      <c r="D228" s="37"/>
      <c r="E228" s="77"/>
      <c r="F228" s="77"/>
      <c r="G228" s="77"/>
      <c r="H228" s="77"/>
      <c r="I228" s="77"/>
      <c r="J228" s="77">
        <f ca="1">J169</f>
        <v>140705.25567868864</v>
      </c>
      <c r="K228" s="77">
        <f ca="1">K169</f>
        <v>176758.94367557377</v>
      </c>
      <c r="L228" s="77">
        <f ca="1">L169</f>
        <v>255588.04303997263</v>
      </c>
      <c r="M228" s="77">
        <f ca="1">M169</f>
        <v>287550.10394045396</v>
      </c>
      <c r="N228" s="77">
        <f ca="1">N169</f>
        <v>325300.44676130079</v>
      </c>
      <c r="O228" s="37"/>
    </row>
    <row r="229" spans="1:15" s="44" customFormat="1" ht="16" customHeight="1">
      <c r="A229" s="37"/>
      <c r="B229" s="64" t="s">
        <v>83</v>
      </c>
      <c r="C229" s="37"/>
      <c r="D229" s="37"/>
      <c r="E229" s="65"/>
      <c r="F229" s="65"/>
      <c r="G229" s="65"/>
      <c r="H229" s="65"/>
      <c r="I229" s="65"/>
      <c r="J229" s="65">
        <f ca="1">SUM(J222:J228)</f>
        <v>3235764.8421642315</v>
      </c>
      <c r="K229" s="65">
        <f ca="1">SUM(K222:K228)</f>
        <v>2238369.8775441847</v>
      </c>
      <c r="L229" s="65">
        <f ca="1">SUM(L222:L228)</f>
        <v>2067442.2742047962</v>
      </c>
      <c r="M229" s="65">
        <f ca="1">SUM(M222:M228)</f>
        <v>2810022.9322151402</v>
      </c>
      <c r="N229" s="65">
        <f ca="1">SUM(N222:N228)</f>
        <v>3603573.372825874</v>
      </c>
      <c r="O229" s="37"/>
    </row>
    <row r="230" spans="1:15" s="44" customFormat="1" ht="16" customHeight="1">
      <c r="A230" s="37"/>
      <c r="B230" s="37"/>
      <c r="C230" s="37"/>
      <c r="D230" s="37"/>
      <c r="E230" s="77"/>
      <c r="F230" s="77"/>
      <c r="G230" s="77"/>
      <c r="H230" s="77"/>
      <c r="I230" s="77"/>
      <c r="J230" s="77"/>
      <c r="K230" s="77"/>
      <c r="L230" s="77"/>
      <c r="M230" s="77"/>
      <c r="N230" s="77"/>
      <c r="O230" s="37"/>
    </row>
    <row r="231" spans="1:15" s="44" customFormat="1" ht="16" customHeight="1">
      <c r="A231" s="37"/>
      <c r="B231" s="37" t="s">
        <v>84</v>
      </c>
      <c r="C231" s="37"/>
      <c r="D231" s="37"/>
      <c r="E231" s="77"/>
      <c r="F231" s="77"/>
      <c r="G231" s="77"/>
      <c r="H231" s="77"/>
      <c r="I231" s="77"/>
      <c r="J231" s="77">
        <f ca="1">-(J149)</f>
        <v>-150488.89514674273</v>
      </c>
      <c r="K231" s="77">
        <f>-(K149)</f>
        <v>-150000</v>
      </c>
      <c r="L231" s="77">
        <f>-(L149)</f>
        <v>-150000</v>
      </c>
      <c r="M231" s="77">
        <f>-(M149)</f>
        <v>-150000</v>
      </c>
      <c r="N231" s="77">
        <f>-(N149)</f>
        <v>-150000</v>
      </c>
      <c r="O231" s="37"/>
    </row>
    <row r="232" spans="1:15" s="44" customFormat="1" ht="16" customHeight="1">
      <c r="A232" s="37"/>
      <c r="B232" s="64" t="s">
        <v>85</v>
      </c>
      <c r="C232" s="37"/>
      <c r="D232" s="37"/>
      <c r="E232" s="65"/>
      <c r="F232" s="65"/>
      <c r="G232" s="65"/>
      <c r="H232" s="65"/>
      <c r="I232" s="65"/>
      <c r="J232" s="65">
        <f ca="1">J231</f>
        <v>-150488.89514674273</v>
      </c>
      <c r="K232" s="65">
        <f>K231</f>
        <v>-150000</v>
      </c>
      <c r="L232" s="65">
        <f>L231</f>
        <v>-150000</v>
      </c>
      <c r="M232" s="65">
        <f>M231</f>
        <v>-150000</v>
      </c>
      <c r="N232" s="65">
        <f>N231</f>
        <v>-150000</v>
      </c>
      <c r="O232" s="37"/>
    </row>
    <row r="233" spans="1:15" s="44" customFormat="1" ht="16" customHeight="1">
      <c r="A233" s="37"/>
      <c r="B233" s="37"/>
      <c r="C233" s="37"/>
      <c r="D233" s="37"/>
      <c r="E233" s="77"/>
      <c r="F233" s="77"/>
      <c r="G233" s="77"/>
      <c r="H233" s="77"/>
      <c r="I233" s="77"/>
      <c r="J233" s="77"/>
      <c r="K233" s="77"/>
      <c r="L233" s="77"/>
      <c r="M233" s="77"/>
      <c r="N233" s="77"/>
      <c r="O233" s="37"/>
    </row>
    <row r="234" spans="1:15" s="44" customFormat="1" ht="16" customHeight="1">
      <c r="A234" s="37"/>
      <c r="B234" s="37" t="s">
        <v>86</v>
      </c>
      <c r="C234" s="37"/>
      <c r="D234" s="37"/>
      <c r="E234" s="77"/>
      <c r="F234" s="77"/>
      <c r="G234" s="77"/>
      <c r="H234" s="77"/>
      <c r="I234" s="77"/>
      <c r="J234" s="77">
        <f>J180</f>
        <v>0</v>
      </c>
      <c r="K234" s="77">
        <f t="shared" ref="K234:M234" si="157">K180</f>
        <v>0</v>
      </c>
      <c r="L234" s="77">
        <f t="shared" si="157"/>
        <v>0</v>
      </c>
      <c r="M234" s="77">
        <f t="shared" si="157"/>
        <v>0</v>
      </c>
      <c r="N234" s="77">
        <f t="shared" ref="N234" si="158">N180</f>
        <v>0</v>
      </c>
      <c r="O234" s="37"/>
    </row>
    <row r="235" spans="1:15" s="44" customFormat="1" ht="16" customHeight="1">
      <c r="A235" s="37"/>
      <c r="B235" s="37" t="s">
        <v>79</v>
      </c>
      <c r="C235" s="37"/>
      <c r="D235" s="37"/>
      <c r="E235" s="77"/>
      <c r="F235" s="77"/>
      <c r="G235" s="77"/>
      <c r="H235" s="77"/>
      <c r="I235" s="77"/>
      <c r="J235" s="77">
        <f ca="1">J211</f>
        <v>-2175885.0951318289</v>
      </c>
      <c r="K235" s="77">
        <f ca="1">K211</f>
        <v>-2617199.3288445077</v>
      </c>
      <c r="L235" s="77">
        <f ca="1">L211</f>
        <v>-3250164.6775814444</v>
      </c>
      <c r="M235" s="77">
        <f ca="1">M211</f>
        <v>-3953343.6697341194</v>
      </c>
      <c r="N235" s="77">
        <f ca="1">N211</f>
        <v>-4737936.5750656528</v>
      </c>
      <c r="O235" s="37"/>
    </row>
    <row r="236" spans="1:15" s="44" customFormat="1" ht="16" customHeight="1">
      <c r="A236" s="37"/>
      <c r="B236" s="37" t="s">
        <v>87</v>
      </c>
      <c r="C236" s="37"/>
      <c r="D236" s="37"/>
      <c r="E236" s="77"/>
      <c r="F236" s="77"/>
      <c r="G236" s="77"/>
      <c r="H236" s="77"/>
      <c r="I236" s="77"/>
      <c r="J236" s="77">
        <f>J192</f>
        <v>0</v>
      </c>
      <c r="K236" s="77">
        <f>K192</f>
        <v>0</v>
      </c>
      <c r="L236" s="77">
        <f>L192</f>
        <v>0</v>
      </c>
      <c r="M236" s="77">
        <f>M192</f>
        <v>0</v>
      </c>
      <c r="N236" s="77">
        <f>N192</f>
        <v>0</v>
      </c>
      <c r="O236" s="37"/>
    </row>
    <row r="237" spans="1:15" s="44" customFormat="1" ht="16" customHeight="1">
      <c r="A237" s="37"/>
      <c r="B237" s="37" t="s">
        <v>88</v>
      </c>
      <c r="C237" s="37"/>
      <c r="D237" s="37"/>
      <c r="E237" s="77"/>
      <c r="F237" s="77"/>
      <c r="G237" s="77"/>
      <c r="H237" s="77"/>
      <c r="I237" s="77"/>
      <c r="J237" s="77">
        <f>-J199</f>
        <v>0</v>
      </c>
      <c r="K237" s="77">
        <f>-K199</f>
        <v>0</v>
      </c>
      <c r="L237" s="77">
        <f>-L199</f>
        <v>0</v>
      </c>
      <c r="M237" s="77">
        <f>-M199</f>
        <v>0</v>
      </c>
      <c r="N237" s="77">
        <f>-N199</f>
        <v>0</v>
      </c>
      <c r="O237" s="37"/>
    </row>
    <row r="238" spans="1:15" s="44" customFormat="1" ht="16" customHeight="1">
      <c r="A238" s="37"/>
      <c r="B238" s="72" t="s">
        <v>229</v>
      </c>
      <c r="C238" s="37"/>
      <c r="D238" s="37"/>
      <c r="E238" s="77"/>
      <c r="F238" s="77"/>
      <c r="G238" s="77"/>
      <c r="H238" s="77"/>
      <c r="I238" s="77"/>
      <c r="J238" s="77">
        <f ca="1">J249</f>
        <v>-26975</v>
      </c>
      <c r="K238" s="77">
        <f t="shared" ref="K238:N238" ca="1" si="159">K249</f>
        <v>0</v>
      </c>
      <c r="L238" s="77">
        <f t="shared" ca="1" si="159"/>
        <v>0</v>
      </c>
      <c r="M238" s="77">
        <f t="shared" ca="1" si="159"/>
        <v>796750.74031029083</v>
      </c>
      <c r="N238" s="77">
        <f t="shared" ca="1" si="159"/>
        <v>1284363.2022397807</v>
      </c>
      <c r="O238" s="37"/>
    </row>
    <row r="239" spans="1:15" s="44" customFormat="1" ht="16" customHeight="1">
      <c r="A239" s="37"/>
      <c r="B239" s="64" t="s">
        <v>90</v>
      </c>
      <c r="C239" s="37"/>
      <c r="D239" s="37"/>
      <c r="E239" s="65"/>
      <c r="F239" s="65"/>
      <c r="G239" s="65"/>
      <c r="H239" s="65"/>
      <c r="I239" s="65"/>
      <c r="J239" s="65">
        <f ca="1">SUM(J234:J238)</f>
        <v>-2202860.0951318289</v>
      </c>
      <c r="K239" s="65">
        <f ca="1">SUM(K234:K238)</f>
        <v>-2617199.3288445077</v>
      </c>
      <c r="L239" s="65">
        <f ca="1">SUM(L234:L238)</f>
        <v>-3250164.6775814444</v>
      </c>
      <c r="M239" s="65">
        <f ca="1">SUM(M234:M238)</f>
        <v>-3156592.9294238286</v>
      </c>
      <c r="N239" s="65">
        <f ca="1">SUM(N234:N238)</f>
        <v>-3453573.3728258722</v>
      </c>
      <c r="O239" s="37"/>
    </row>
    <row r="240" spans="1:15" s="44" customFormat="1" ht="16" customHeight="1">
      <c r="A240" s="37"/>
      <c r="B240" s="37"/>
      <c r="C240" s="37"/>
      <c r="D240" s="37"/>
      <c r="E240" s="77"/>
      <c r="F240" s="77"/>
      <c r="G240" s="77"/>
      <c r="H240" s="77"/>
      <c r="I240" s="77"/>
      <c r="J240" s="77"/>
      <c r="K240" s="77"/>
      <c r="L240" s="77"/>
      <c r="M240" s="77"/>
      <c r="N240" s="77"/>
      <c r="O240" s="37"/>
    </row>
    <row r="241" spans="1:15" s="44" customFormat="1" ht="16" customHeight="1">
      <c r="A241" s="37"/>
      <c r="B241" s="64" t="s">
        <v>91</v>
      </c>
      <c r="C241" s="37"/>
      <c r="D241" s="37"/>
      <c r="E241" s="65"/>
      <c r="F241" s="65"/>
      <c r="G241" s="65"/>
      <c r="H241" s="65"/>
      <c r="I241" s="65"/>
      <c r="J241" s="65">
        <f ca="1">J229+J232+J239</f>
        <v>882415.85188565962</v>
      </c>
      <c r="K241" s="65">
        <f ca="1">K229+K232+K239</f>
        <v>-528829.45130032301</v>
      </c>
      <c r="L241" s="65">
        <f ca="1">L229+L232+L239</f>
        <v>-1332722.4033766482</v>
      </c>
      <c r="M241" s="65">
        <f ca="1">M229+M232+M239</f>
        <v>-496569.99720868841</v>
      </c>
      <c r="N241" s="65">
        <f ca="1">N229+N232+N239</f>
        <v>0</v>
      </c>
      <c r="O241" s="37"/>
    </row>
    <row r="242" spans="1:15" s="44" customFormat="1" ht="16" customHeight="1">
      <c r="A242" s="37"/>
      <c r="B242" s="37"/>
      <c r="C242" s="37"/>
      <c r="D242" s="37"/>
      <c r="E242" s="37"/>
      <c r="F242" s="37"/>
      <c r="G242" s="37"/>
      <c r="H242" s="37"/>
      <c r="I242" s="37"/>
      <c r="J242" s="37"/>
      <c r="K242" s="37"/>
      <c r="L242" s="37"/>
      <c r="M242" s="37"/>
      <c r="N242" s="37"/>
      <c r="O242" s="37"/>
    </row>
    <row r="243" spans="1:15" s="44" customFormat="1" ht="16" customHeight="1">
      <c r="A243" s="37"/>
      <c r="B243" s="38" t="s">
        <v>92</v>
      </c>
      <c r="C243" s="54"/>
      <c r="D243" s="39"/>
      <c r="E243" s="39"/>
      <c r="F243" s="39"/>
      <c r="G243" s="40"/>
      <c r="H243" s="40"/>
      <c r="I243" s="40"/>
      <c r="J243" s="40"/>
      <c r="K243" s="40"/>
      <c r="L243" s="40"/>
      <c r="M243" s="40"/>
      <c r="N243" s="37"/>
      <c r="O243" s="37"/>
    </row>
    <row r="244" spans="1:15" s="44" customFormat="1" ht="16" customHeight="1">
      <c r="A244" s="37"/>
      <c r="B244" s="45" t="str">
        <f>$B$10</f>
        <v xml:space="preserve">Fiscal year  </v>
      </c>
      <c r="C244" s="46"/>
      <c r="D244" s="47">
        <f ca="1">D$10</f>
        <v>2016</v>
      </c>
      <c r="E244" s="47">
        <f t="shared" ref="E244:I244" ca="1" si="160">E$10</f>
        <v>2017</v>
      </c>
      <c r="F244" s="47">
        <f t="shared" ca="1" si="160"/>
        <v>2018</v>
      </c>
      <c r="G244" s="47">
        <f t="shared" ca="1" si="160"/>
        <v>2019</v>
      </c>
      <c r="H244" s="47">
        <f t="shared" ca="1" si="160"/>
        <v>2020</v>
      </c>
      <c r="I244" s="47">
        <f t="shared" ca="1" si="160"/>
        <v>2021</v>
      </c>
      <c r="J244" s="48">
        <f ca="1">J$10</f>
        <v>2022</v>
      </c>
      <c r="K244" s="48">
        <f t="shared" ref="K244:N244" ca="1" si="161">K$10</f>
        <v>2023</v>
      </c>
      <c r="L244" s="48">
        <f t="shared" ca="1" si="161"/>
        <v>2024</v>
      </c>
      <c r="M244" s="48">
        <f t="shared" ca="1" si="161"/>
        <v>2025</v>
      </c>
      <c r="N244" s="48">
        <f t="shared" ca="1" si="161"/>
        <v>2026</v>
      </c>
      <c r="O244" s="37"/>
    </row>
    <row r="245" spans="1:15" s="44" customFormat="1" ht="16" customHeight="1">
      <c r="A245" s="37"/>
      <c r="B245" s="51" t="str">
        <f>$B$11</f>
        <v>Fiscal year end date</v>
      </c>
      <c r="C245" s="52"/>
      <c r="D245" s="53">
        <f>D$11</f>
        <v>42460</v>
      </c>
      <c r="E245" s="53">
        <f t="shared" ref="E245:I245" si="162">E$11</f>
        <v>42825</v>
      </c>
      <c r="F245" s="53">
        <f t="shared" si="162"/>
        <v>43190</v>
      </c>
      <c r="G245" s="53">
        <f t="shared" si="162"/>
        <v>43555</v>
      </c>
      <c r="H245" s="53">
        <f t="shared" si="162"/>
        <v>43921</v>
      </c>
      <c r="I245" s="53">
        <f t="shared" si="162"/>
        <v>44286</v>
      </c>
      <c r="J245" s="54">
        <f>J$11</f>
        <v>44651</v>
      </c>
      <c r="K245" s="54">
        <f t="shared" ref="K245:N245" si="163">K$11</f>
        <v>45016</v>
      </c>
      <c r="L245" s="54">
        <f t="shared" si="163"/>
        <v>45382</v>
      </c>
      <c r="M245" s="54">
        <f t="shared" si="163"/>
        <v>45747</v>
      </c>
      <c r="N245" s="54">
        <f t="shared" si="163"/>
        <v>46112</v>
      </c>
      <c r="O245" s="37"/>
    </row>
    <row r="246" spans="1:15" s="44" customFormat="1" ht="16" customHeight="1">
      <c r="A246" s="37"/>
      <c r="B246" s="83"/>
      <c r="C246" s="45"/>
      <c r="D246" s="45"/>
      <c r="E246" s="45"/>
      <c r="F246" s="45"/>
      <c r="G246" s="45"/>
      <c r="H246" s="45"/>
      <c r="I246" s="45"/>
      <c r="J246" s="45"/>
      <c r="K246" s="45"/>
      <c r="L246" s="45"/>
      <c r="M246" s="45"/>
      <c r="N246" s="37"/>
      <c r="O246" s="37"/>
    </row>
    <row r="247" spans="1:15" s="44" customFormat="1" ht="16" customHeight="1">
      <c r="A247" s="37"/>
      <c r="B247" s="64" t="s">
        <v>89</v>
      </c>
      <c r="C247" s="37"/>
      <c r="D247" s="37"/>
      <c r="E247" s="37"/>
      <c r="F247" s="37"/>
      <c r="G247" s="37"/>
      <c r="H247" s="37"/>
      <c r="I247" s="37"/>
      <c r="J247" s="37"/>
      <c r="K247" s="37"/>
      <c r="L247" s="37"/>
      <c r="M247" s="37"/>
      <c r="N247" s="37"/>
      <c r="O247" s="37"/>
    </row>
    <row r="248" spans="1:15" s="44" customFormat="1" ht="16" customHeight="1">
      <c r="A248" s="37"/>
      <c r="B248" s="72" t="s">
        <v>48</v>
      </c>
      <c r="C248" s="37"/>
      <c r="D248" s="37"/>
      <c r="E248" s="61">
        <f t="shared" ref="E248:G248" si="164">D250</f>
        <v>22369</v>
      </c>
      <c r="F248" s="61">
        <f t="shared" si="164"/>
        <v>35269</v>
      </c>
      <c r="G248" s="61">
        <f t="shared" si="164"/>
        <v>36259</v>
      </c>
      <c r="H248" s="61">
        <f>G250</f>
        <v>25978</v>
      </c>
      <c r="I248" s="61">
        <f t="shared" ref="I248:N248" si="165">H250</f>
        <v>21569</v>
      </c>
      <c r="J248" s="77">
        <f>I250</f>
        <v>26975</v>
      </c>
      <c r="K248" s="77">
        <f t="shared" ca="1" si="165"/>
        <v>0</v>
      </c>
      <c r="L248" s="77">
        <f t="shared" ca="1" si="165"/>
        <v>0</v>
      </c>
      <c r="M248" s="77">
        <f t="shared" ca="1" si="165"/>
        <v>0</v>
      </c>
      <c r="N248" s="77">
        <f t="shared" ca="1" si="165"/>
        <v>796750.74031029083</v>
      </c>
      <c r="O248" s="37"/>
    </row>
    <row r="249" spans="1:15" s="44" customFormat="1" ht="16" customHeight="1">
      <c r="A249" s="37"/>
      <c r="B249" s="72" t="s">
        <v>49</v>
      </c>
      <c r="C249" s="37"/>
      <c r="D249" s="37"/>
      <c r="E249" s="37"/>
      <c r="F249" s="37"/>
      <c r="G249" s="37"/>
      <c r="H249" s="37"/>
      <c r="I249" s="77"/>
      <c r="J249" s="77">
        <f ca="1">-MIN(J260,J248)</f>
        <v>-26975</v>
      </c>
      <c r="K249" s="77">
        <f t="shared" ref="K249:N249" ca="1" si="166">-MIN(K260,K248)</f>
        <v>0</v>
      </c>
      <c r="L249" s="77">
        <f t="shared" ca="1" si="166"/>
        <v>0</v>
      </c>
      <c r="M249" s="77">
        <f t="shared" ca="1" si="166"/>
        <v>796750.74031029083</v>
      </c>
      <c r="N249" s="77">
        <f t="shared" ca="1" si="166"/>
        <v>1284363.2022397816</v>
      </c>
      <c r="O249" s="37"/>
    </row>
    <row r="250" spans="1:15" s="44" customFormat="1" ht="16" customHeight="1">
      <c r="A250" s="37"/>
      <c r="B250" s="72" t="s">
        <v>50</v>
      </c>
      <c r="C250" s="37"/>
      <c r="D250" s="61">
        <f t="shared" ref="D250:I250" si="167">D96</f>
        <v>22369</v>
      </c>
      <c r="E250" s="61">
        <f t="shared" si="167"/>
        <v>35269</v>
      </c>
      <c r="F250" s="61">
        <f t="shared" si="167"/>
        <v>36259</v>
      </c>
      <c r="G250" s="61">
        <f t="shared" si="167"/>
        <v>25978</v>
      </c>
      <c r="H250" s="61">
        <f t="shared" si="167"/>
        <v>21569</v>
      </c>
      <c r="I250" s="61">
        <f t="shared" si="167"/>
        <v>26975</v>
      </c>
      <c r="J250" s="77">
        <f ca="1">SUM(J248:J249)</f>
        <v>0</v>
      </c>
      <c r="K250" s="77">
        <f ca="1">SUM(K248:K249)</f>
        <v>0</v>
      </c>
      <c r="L250" s="77">
        <f ca="1">SUM(L248:L249)</f>
        <v>0</v>
      </c>
      <c r="M250" s="77">
        <f ca="1">SUM(M248:M249)</f>
        <v>796750.74031029083</v>
      </c>
      <c r="N250" s="77">
        <f ca="1">SUM(N248:N249)</f>
        <v>2081113.9425500724</v>
      </c>
      <c r="O250" s="37"/>
    </row>
    <row r="251" spans="1:15" s="44" customFormat="1" ht="16" customHeight="1">
      <c r="A251" s="37"/>
      <c r="B251" s="72"/>
      <c r="C251" s="37"/>
      <c r="D251" s="37"/>
      <c r="E251" s="37"/>
      <c r="F251" s="37"/>
      <c r="G251" s="37"/>
      <c r="H251" s="37"/>
      <c r="I251" s="37"/>
      <c r="J251" s="77"/>
      <c r="K251" s="77"/>
      <c r="L251" s="77"/>
      <c r="M251" s="77"/>
      <c r="N251" s="77"/>
      <c r="O251" s="37"/>
    </row>
    <row r="252" spans="1:15" s="44" customFormat="1" ht="16" customHeight="1">
      <c r="A252" s="37"/>
      <c r="B252" s="72" t="s">
        <v>93</v>
      </c>
      <c r="C252" s="37"/>
      <c r="D252" s="37"/>
      <c r="E252" s="37"/>
      <c r="F252" s="37"/>
      <c r="G252" s="37"/>
      <c r="H252" s="37"/>
      <c r="I252" s="77"/>
      <c r="J252" s="77">
        <f ca="1">J89+J91</f>
        <v>19488311.921503183</v>
      </c>
      <c r="K252" s="77">
        <f ca="1">K89+K91</f>
        <v>23447897.353330813</v>
      </c>
      <c r="L252" s="77">
        <f ca="1">L89+L91</f>
        <v>29173337.156976014</v>
      </c>
      <c r="M252" s="77">
        <f ca="1">M89+M91</f>
        <v>35614760.593930416</v>
      </c>
      <c r="N252" s="77">
        <f ca="1">N89+N91</f>
        <v>42901831.240421638</v>
      </c>
      <c r="O252" s="37"/>
    </row>
    <row r="253" spans="1:15" s="44" customFormat="1" ht="16" customHeight="1">
      <c r="A253" s="37"/>
      <c r="B253" s="72" t="s">
        <v>94</v>
      </c>
      <c r="C253" s="37"/>
      <c r="D253" s="37"/>
      <c r="E253" s="37"/>
      <c r="F253" s="37"/>
      <c r="G253" s="37"/>
      <c r="H253" s="37"/>
      <c r="I253" s="37"/>
      <c r="J253" s="37" t="str">
        <f ca="1">IF(J250&gt;J252,"OVERDRAWN","OK")</f>
        <v>OK</v>
      </c>
      <c r="K253" s="37" t="str">
        <f ca="1">IF(K250&gt;K252,"OVERDRAWN","OK")</f>
        <v>OK</v>
      </c>
      <c r="L253" s="37" t="str">
        <f ca="1">IF(L250&gt;L252,"OVERDRAWN","OK")</f>
        <v>OK</v>
      </c>
      <c r="M253" s="37" t="str">
        <f ca="1">IF(M250&gt;M252,"OVERDRAWN","OK")</f>
        <v>OK</v>
      </c>
      <c r="N253" s="37" t="str">
        <f ca="1">IF(N250&gt;N252,"OVERDRAWN","OK")</f>
        <v>OK</v>
      </c>
      <c r="O253" s="37"/>
    </row>
    <row r="254" spans="1:15" s="44" customFormat="1" ht="16" customHeight="1">
      <c r="A254" s="37"/>
      <c r="B254" s="37"/>
      <c r="C254" s="37"/>
      <c r="D254" s="37"/>
      <c r="E254" s="37"/>
      <c r="F254" s="37"/>
      <c r="G254" s="37"/>
      <c r="H254" s="37"/>
      <c r="I254" s="37"/>
      <c r="J254" s="37"/>
      <c r="K254" s="37"/>
      <c r="L254" s="37"/>
      <c r="M254" s="37"/>
      <c r="N254" s="37"/>
      <c r="O254" s="37"/>
    </row>
    <row r="255" spans="1:15" s="44" customFormat="1" ht="16" customHeight="1">
      <c r="A255" s="37"/>
      <c r="B255" s="71" t="s">
        <v>95</v>
      </c>
      <c r="C255" s="37"/>
      <c r="D255" s="37"/>
      <c r="E255" s="37"/>
      <c r="F255" s="37"/>
      <c r="G255" s="37"/>
      <c r="H255" s="37"/>
      <c r="I255" s="37"/>
      <c r="J255" s="37"/>
      <c r="K255" s="37"/>
      <c r="L255" s="37"/>
      <c r="M255" s="37"/>
      <c r="N255" s="37"/>
      <c r="O255" s="37"/>
    </row>
    <row r="256" spans="1:15" s="44" customFormat="1" ht="16" customHeight="1">
      <c r="A256" s="37"/>
      <c r="B256" s="72" t="s">
        <v>48</v>
      </c>
      <c r="C256" s="37"/>
      <c r="D256" s="37"/>
      <c r="E256" s="37"/>
      <c r="F256" s="37"/>
      <c r="G256" s="37"/>
      <c r="H256" s="37"/>
      <c r="I256" s="77"/>
      <c r="J256" s="77">
        <f>I88</f>
        <v>2475706</v>
      </c>
      <c r="K256" s="77">
        <f ca="1">J88</f>
        <v>3358121.8518856596</v>
      </c>
      <c r="L256" s="77">
        <f ca="1">K88</f>
        <v>2829292.4005853366</v>
      </c>
      <c r="M256" s="77">
        <f ca="1">L88</f>
        <v>1496569.9972086884</v>
      </c>
      <c r="N256" s="77">
        <f ca="1">M88</f>
        <v>1000000</v>
      </c>
      <c r="O256" s="37"/>
    </row>
    <row r="257" spans="1:15" s="44" customFormat="1" ht="16" customHeight="1">
      <c r="A257" s="37"/>
      <c r="B257" s="72" t="s">
        <v>96</v>
      </c>
      <c r="C257" s="37"/>
      <c r="D257" s="37"/>
      <c r="E257" s="37"/>
      <c r="F257" s="37"/>
      <c r="G257" s="37"/>
      <c r="H257" s="37"/>
      <c r="I257" s="59"/>
      <c r="J257" s="59">
        <v>1000000</v>
      </c>
      <c r="K257" s="59">
        <v>1000000</v>
      </c>
      <c r="L257" s="59">
        <v>1000000</v>
      </c>
      <c r="M257" s="59">
        <v>1000000</v>
      </c>
      <c r="N257" s="59">
        <v>1000000</v>
      </c>
      <c r="O257" s="37"/>
    </row>
    <row r="258" spans="1:15" s="44" customFormat="1" ht="16" customHeight="1">
      <c r="A258" s="37"/>
      <c r="B258" s="72" t="s">
        <v>97</v>
      </c>
      <c r="C258" s="37"/>
      <c r="D258" s="37"/>
      <c r="E258" s="37"/>
      <c r="F258" s="37"/>
      <c r="G258" s="37"/>
      <c r="H258" s="37"/>
      <c r="I258" s="77"/>
      <c r="J258" s="77">
        <f>J256-J257</f>
        <v>1475706</v>
      </c>
      <c r="K258" s="77">
        <f ca="1">K256-K257</f>
        <v>2358121.8518856596</v>
      </c>
      <c r="L258" s="77">
        <f ca="1">L256-L257</f>
        <v>1829292.4005853366</v>
      </c>
      <c r="M258" s="77">
        <f ca="1">M256-M257</f>
        <v>496569.99720868841</v>
      </c>
      <c r="N258" s="77">
        <f ca="1">N256-N257</f>
        <v>0</v>
      </c>
      <c r="O258" s="37"/>
    </row>
    <row r="259" spans="1:15" s="44" customFormat="1" ht="16" customHeight="1">
      <c r="A259" s="37"/>
      <c r="B259" s="72" t="s">
        <v>98</v>
      </c>
      <c r="C259" s="37"/>
      <c r="D259" s="37"/>
      <c r="E259" s="37"/>
      <c r="F259" s="37"/>
      <c r="G259" s="37"/>
      <c r="H259" s="37"/>
      <c r="I259" s="77"/>
      <c r="J259" s="77">
        <f ca="1">J229+J232+SUM(J234:J237)</f>
        <v>909390.85188565962</v>
      </c>
      <c r="K259" s="77">
        <f ca="1">K229+K232+SUM(K234:K237)</f>
        <v>-528829.45130032301</v>
      </c>
      <c r="L259" s="77">
        <f ca="1">L229+L232+SUM(L234:L237)</f>
        <v>-1332722.4033766482</v>
      </c>
      <c r="M259" s="77">
        <f ca="1">M229+M232+SUM(M234:M237)</f>
        <v>-1293320.7375189792</v>
      </c>
      <c r="N259" s="77">
        <f ca="1">N229+N232+SUM(N234:N237)</f>
        <v>-1284363.2022397788</v>
      </c>
      <c r="O259" s="37"/>
    </row>
    <row r="260" spans="1:15" s="44" customFormat="1" ht="16" customHeight="1">
      <c r="A260" s="37"/>
      <c r="B260" s="78" t="s">
        <v>99</v>
      </c>
      <c r="C260" s="37"/>
      <c r="D260" s="37"/>
      <c r="E260" s="37"/>
      <c r="F260" s="37"/>
      <c r="G260" s="37"/>
      <c r="H260" s="37"/>
      <c r="I260" s="77"/>
      <c r="J260" s="77">
        <f ca="1">J258+J259</f>
        <v>2385096.8518856596</v>
      </c>
      <c r="K260" s="77">
        <f ca="1">K258+K259</f>
        <v>1829292.4005853366</v>
      </c>
      <c r="L260" s="77">
        <f ca="1">L258+L259</f>
        <v>496569.99720868841</v>
      </c>
      <c r="M260" s="77">
        <f ca="1">M258+M259</f>
        <v>-796750.74031029083</v>
      </c>
      <c r="N260" s="77">
        <f ca="1">N258+N259</f>
        <v>-1284363.2022397788</v>
      </c>
      <c r="O260" s="37"/>
    </row>
    <row r="261" spans="1:15" s="44" customFormat="1" ht="16" customHeight="1">
      <c r="A261" s="37"/>
      <c r="B261" s="37"/>
      <c r="C261" s="37"/>
      <c r="D261" s="37"/>
      <c r="E261" s="37"/>
      <c r="F261" s="37"/>
      <c r="G261" s="37"/>
      <c r="H261" s="37"/>
      <c r="I261" s="37"/>
      <c r="J261" s="37"/>
      <c r="K261" s="37"/>
      <c r="L261" s="37"/>
      <c r="M261" s="37"/>
      <c r="N261" s="37"/>
      <c r="O261" s="37"/>
    </row>
    <row r="262" spans="1:15" s="44" customFormat="1" ht="16" customHeight="1">
      <c r="A262" s="37"/>
      <c r="B262" s="72" t="s">
        <v>100</v>
      </c>
      <c r="C262" s="37"/>
      <c r="D262" s="125"/>
      <c r="E262" s="125">
        <f t="shared" ref="E262:G262" si="168">E263/AVERAGE(E248,E250)</f>
        <v>0</v>
      </c>
      <c r="F262" s="125">
        <f t="shared" si="168"/>
        <v>0</v>
      </c>
      <c r="G262" s="125">
        <f t="shared" si="168"/>
        <v>0</v>
      </c>
      <c r="H262" s="125">
        <f>H263/AVERAGE(H248,H250)</f>
        <v>0</v>
      </c>
      <c r="I262" s="125">
        <f>I263/AVERAGE(I248,I250)</f>
        <v>0</v>
      </c>
      <c r="J262" s="126">
        <v>0.06</v>
      </c>
      <c r="K262" s="126">
        <v>0.06</v>
      </c>
      <c r="L262" s="126">
        <v>0.06</v>
      </c>
      <c r="M262" s="126">
        <v>0.06</v>
      </c>
      <c r="N262" s="126">
        <v>0.06</v>
      </c>
      <c r="O262" s="37"/>
    </row>
    <row r="263" spans="1:15" s="44" customFormat="1" ht="16" customHeight="1">
      <c r="A263" s="37"/>
      <c r="B263" s="72" t="s">
        <v>101</v>
      </c>
      <c r="C263" s="37"/>
      <c r="D263" s="59">
        <v>0</v>
      </c>
      <c r="E263" s="59">
        <v>0</v>
      </c>
      <c r="F263" s="59">
        <v>0</v>
      </c>
      <c r="G263" s="59">
        <v>0</v>
      </c>
      <c r="H263" s="59">
        <v>0</v>
      </c>
      <c r="I263" s="59">
        <v>0</v>
      </c>
      <c r="J263" s="61">
        <f ca="1">IF($C$7="OFF",J262*AVERAGE(J248,J250),0)</f>
        <v>809.25</v>
      </c>
      <c r="K263" s="61">
        <f ca="1">IF($C$7="OFF",K262*AVERAGE(K248,K250),0)</f>
        <v>0</v>
      </c>
      <c r="L263" s="61">
        <f ca="1">IF($C$7="OFF",L262*AVERAGE(L248,L250),0)</f>
        <v>0</v>
      </c>
      <c r="M263" s="61">
        <f ca="1">IF($C$7="OFF",M262*AVERAGE(M248,M250),0)</f>
        <v>23902.522209308725</v>
      </c>
      <c r="N263" s="61">
        <f ca="1">IF($C$7="OFF",N262*AVERAGE(N248,N250),0)</f>
        <v>86335.94048581089</v>
      </c>
      <c r="O263" s="37" t="s">
        <v>102</v>
      </c>
    </row>
    <row r="264" spans="1:15" s="44" customFormat="1" ht="16" customHeight="1">
      <c r="A264" s="37"/>
      <c r="B264" s="37"/>
      <c r="C264" s="37"/>
      <c r="D264" s="37"/>
      <c r="E264" s="37"/>
      <c r="F264" s="37"/>
      <c r="G264" s="37"/>
      <c r="H264" s="37"/>
      <c r="I264" s="37"/>
      <c r="J264" s="37"/>
      <c r="K264" s="37"/>
      <c r="L264" s="37"/>
      <c r="M264" s="37"/>
      <c r="N264" s="37"/>
      <c r="O264" s="37"/>
    </row>
    <row r="265" spans="1:15" s="44" customFormat="1" ht="16" customHeight="1">
      <c r="A265" s="37"/>
      <c r="B265" s="78" t="s">
        <v>103</v>
      </c>
      <c r="C265" s="37"/>
      <c r="D265" s="37"/>
      <c r="E265" s="37"/>
      <c r="F265" s="37"/>
      <c r="G265" s="37"/>
      <c r="H265" s="37"/>
      <c r="I265" s="37"/>
      <c r="J265" s="37"/>
      <c r="K265" s="37"/>
      <c r="L265" s="37"/>
      <c r="M265" s="37"/>
      <c r="N265" s="37"/>
      <c r="O265" s="37"/>
    </row>
    <row r="266" spans="1:15" s="44" customFormat="1" ht="16" customHeight="1">
      <c r="A266" s="37"/>
      <c r="B266" s="72" t="s">
        <v>48</v>
      </c>
      <c r="C266" s="37"/>
      <c r="D266" s="77"/>
      <c r="E266" s="77"/>
      <c r="F266" s="77"/>
      <c r="G266" s="77"/>
      <c r="H266" s="77"/>
      <c r="I266" s="77"/>
      <c r="J266" s="77">
        <f>I268</f>
        <v>2475706</v>
      </c>
      <c r="K266" s="77">
        <f ca="1">J268</f>
        <v>3358121.8518856596</v>
      </c>
      <c r="L266" s="77">
        <f ca="1">K268</f>
        <v>2829292.4005853366</v>
      </c>
      <c r="M266" s="77">
        <f ca="1">L268</f>
        <v>1496569.9972086884</v>
      </c>
      <c r="N266" s="77">
        <f ca="1">M268</f>
        <v>1000000</v>
      </c>
      <c r="O266" s="37"/>
    </row>
    <row r="267" spans="1:15" s="44" customFormat="1" ht="16" customHeight="1">
      <c r="A267" s="37"/>
      <c r="B267" s="37" t="s">
        <v>104</v>
      </c>
      <c r="C267" s="37"/>
      <c r="D267" s="77"/>
      <c r="E267" s="77"/>
      <c r="F267" s="77"/>
      <c r="G267" s="77"/>
      <c r="H267" s="77"/>
      <c r="I267" s="77"/>
      <c r="J267" s="77">
        <f ca="1">J268-J266</f>
        <v>882415.85188565962</v>
      </c>
      <c r="K267" s="77">
        <f ca="1">K268-K266</f>
        <v>-528829.45130032301</v>
      </c>
      <c r="L267" s="77">
        <f ca="1">L268-L266</f>
        <v>-1332722.4033766482</v>
      </c>
      <c r="M267" s="77">
        <f ca="1">M268-M266</f>
        <v>-496569.99720868841</v>
      </c>
      <c r="N267" s="77">
        <f ca="1">N268-N266</f>
        <v>-1.1175870895385742E-8</v>
      </c>
      <c r="O267" s="37"/>
    </row>
    <row r="268" spans="1:15" s="44" customFormat="1" ht="16" customHeight="1">
      <c r="A268" s="37"/>
      <c r="B268" s="72" t="s">
        <v>50</v>
      </c>
      <c r="C268" s="37"/>
      <c r="D268" s="77">
        <f t="shared" ref="D268:N268" si="169">D88</f>
        <v>1150000</v>
      </c>
      <c r="E268" s="77">
        <f t="shared" si="169"/>
        <v>1160000</v>
      </c>
      <c r="F268" s="77">
        <f t="shared" si="169"/>
        <v>1140000</v>
      </c>
      <c r="G268" s="77">
        <f t="shared" si="169"/>
        <v>1120000</v>
      </c>
      <c r="H268" s="77">
        <f t="shared" si="169"/>
        <v>1160000</v>
      </c>
      <c r="I268" s="77">
        <f t="shared" si="169"/>
        <v>2475706</v>
      </c>
      <c r="J268" s="77">
        <f t="shared" ca="1" si="169"/>
        <v>3358121.8518856596</v>
      </c>
      <c r="K268" s="77">
        <f t="shared" ca="1" si="169"/>
        <v>2829292.4005853366</v>
      </c>
      <c r="L268" s="77">
        <f t="shared" ca="1" si="169"/>
        <v>1496569.9972086884</v>
      </c>
      <c r="M268" s="77">
        <f t="shared" ca="1" si="169"/>
        <v>1000000</v>
      </c>
      <c r="N268" s="77">
        <f t="shared" ca="1" si="169"/>
        <v>1000000</v>
      </c>
      <c r="O268" s="37"/>
    </row>
    <row r="269" spans="1:15" s="44" customFormat="1" ht="16" customHeight="1">
      <c r="A269" s="37"/>
      <c r="B269" s="72"/>
      <c r="C269" s="37"/>
      <c r="D269" s="37"/>
      <c r="E269" s="37"/>
      <c r="F269" s="37"/>
      <c r="G269" s="37"/>
      <c r="H269" s="37"/>
      <c r="I269" s="37"/>
      <c r="J269" s="37"/>
      <c r="K269" s="37"/>
      <c r="L269" s="37"/>
      <c r="M269" s="37"/>
      <c r="N269" s="37"/>
      <c r="O269" s="37"/>
    </row>
    <row r="270" spans="1:15" s="44" customFormat="1" ht="16" customHeight="1">
      <c r="A270" s="37"/>
      <c r="B270" s="72" t="s">
        <v>105</v>
      </c>
      <c r="C270" s="37"/>
      <c r="D270" s="62">
        <f>D271/D268</f>
        <v>2.0262608695652173E-2</v>
      </c>
      <c r="E270" s="62">
        <f t="shared" ref="E270:I270" si="170">E271/E268</f>
        <v>2.0000862068965519E-2</v>
      </c>
      <c r="F270" s="62">
        <f t="shared" si="170"/>
        <v>1.996140350877193E-2</v>
      </c>
      <c r="G270" s="62">
        <f t="shared" si="170"/>
        <v>2.0001785714285715E-2</v>
      </c>
      <c r="H270" s="62">
        <f t="shared" si="170"/>
        <v>0.02</v>
      </c>
      <c r="I270" s="62">
        <f t="shared" si="170"/>
        <v>1.0000783614855723E-2</v>
      </c>
      <c r="J270" s="126">
        <v>0.01</v>
      </c>
      <c r="K270" s="126">
        <v>0.01</v>
      </c>
      <c r="L270" s="126">
        <v>0.01</v>
      </c>
      <c r="M270" s="126">
        <v>0.01</v>
      </c>
      <c r="N270" s="126">
        <v>0.01</v>
      </c>
      <c r="O270" s="37"/>
    </row>
    <row r="271" spans="1:15" s="44" customFormat="1" ht="16" customHeight="1">
      <c r="A271" s="37"/>
      <c r="B271" s="72" t="s">
        <v>106</v>
      </c>
      <c r="C271" s="37"/>
      <c r="D271" s="77">
        <f t="shared" ref="D271:I271" si="171">D18</f>
        <v>23302</v>
      </c>
      <c r="E271" s="77">
        <f t="shared" si="171"/>
        <v>23201</v>
      </c>
      <c r="F271" s="77">
        <f t="shared" si="171"/>
        <v>22756</v>
      </c>
      <c r="G271" s="77">
        <f t="shared" si="171"/>
        <v>22402</v>
      </c>
      <c r="H271" s="77">
        <f t="shared" si="171"/>
        <v>23200</v>
      </c>
      <c r="I271" s="77">
        <f t="shared" si="171"/>
        <v>24759</v>
      </c>
      <c r="J271" s="77">
        <f ca="1">IF($C$7="OFF",AVERAGE(J266,J268)*J270,0)</f>
        <v>29169.139259428299</v>
      </c>
      <c r="K271" s="77">
        <f ca="1">IF($C$7="OFF",AVERAGE(K266,K268)*K270,0)</f>
        <v>30937.071262354981</v>
      </c>
      <c r="L271" s="77">
        <f ca="1">IF($C$7="OFF",AVERAGE(L266,L268)*L270,0)</f>
        <v>21629.311988970127</v>
      </c>
      <c r="M271" s="77">
        <f ca="1">IF($C$7="OFF",AVERAGE(M266,M268)*M270,0)</f>
        <v>12482.849986043442</v>
      </c>
      <c r="N271" s="77">
        <f ca="1">IF($C$7="OFF",AVERAGE(N266,N268)*N270,0)</f>
        <v>10000</v>
      </c>
      <c r="O271" s="37" t="s">
        <v>102</v>
      </c>
    </row>
    <row r="272" spans="1:15" s="44" customFormat="1" ht="16" customHeight="1">
      <c r="A272" s="37"/>
      <c r="B272" s="37"/>
      <c r="C272" s="37"/>
      <c r="D272" s="37"/>
      <c r="E272" s="37"/>
      <c r="F272" s="37"/>
      <c r="G272" s="37"/>
      <c r="H272" s="37"/>
      <c r="I272" s="37"/>
      <c r="J272" s="37"/>
      <c r="K272" s="37"/>
      <c r="L272" s="37"/>
      <c r="M272" s="37"/>
      <c r="N272" s="37"/>
      <c r="O272" s="37"/>
    </row>
    <row r="273" spans="2:16" s="44" customFormat="1" ht="16" customHeight="1">
      <c r="B273" s="127" t="s">
        <v>109</v>
      </c>
      <c r="C273" s="127"/>
      <c r="D273" s="127"/>
      <c r="E273" s="127"/>
      <c r="F273" s="127"/>
      <c r="G273" s="127"/>
      <c r="H273" s="127"/>
      <c r="I273" s="127"/>
      <c r="J273" s="128"/>
      <c r="K273" s="129"/>
      <c r="L273" s="130"/>
      <c r="M273" s="130"/>
    </row>
    <row r="274" spans="2:16" s="44" customFormat="1" ht="16" customHeight="1">
      <c r="B274" s="131"/>
      <c r="C274" s="95"/>
      <c r="D274" s="95"/>
      <c r="E274" s="95"/>
      <c r="F274" s="95"/>
      <c r="G274" s="95"/>
      <c r="H274" s="95"/>
      <c r="I274" s="95"/>
      <c r="J274" s="95"/>
      <c r="K274" s="132"/>
    </row>
    <row r="275" spans="2:16" s="44" customFormat="1" ht="16" customHeight="1" thickBot="1">
      <c r="B275" s="133" t="s">
        <v>119</v>
      </c>
      <c r="C275" s="133"/>
      <c r="D275" s="134"/>
      <c r="E275" s="134"/>
      <c r="F275" s="134"/>
      <c r="G275" s="134"/>
      <c r="H275" s="134"/>
      <c r="I275" s="95"/>
      <c r="J275" s="133" t="s">
        <v>121</v>
      </c>
      <c r="K275" s="133"/>
      <c r="L275" s="134"/>
      <c r="M275" s="134"/>
      <c r="N275" s="134"/>
      <c r="O275" s="134"/>
      <c r="P275" s="134"/>
    </row>
    <row r="276" spans="2:16" s="44" customFormat="1" ht="16" customHeight="1">
      <c r="B276" s="95"/>
      <c r="C276" s="95"/>
      <c r="D276" s="135" t="s">
        <v>110</v>
      </c>
      <c r="E276" s="135"/>
      <c r="F276" s="135"/>
      <c r="G276" s="135"/>
      <c r="H276" s="135"/>
      <c r="I276" s="95"/>
      <c r="J276" s="95"/>
      <c r="K276" s="95"/>
      <c r="L276" s="135" t="s">
        <v>110</v>
      </c>
      <c r="M276" s="135"/>
      <c r="N276" s="135"/>
      <c r="O276" s="135"/>
      <c r="P276" s="135"/>
    </row>
    <row r="277" spans="2:16" s="44" customFormat="1" ht="16" customHeight="1" thickBot="1">
      <c r="B277" s="95"/>
      <c r="C277" s="136">
        <f>I38</f>
        <v>4675475.3788500009</v>
      </c>
      <c r="D277" s="137">
        <f>E277-2%</f>
        <v>0</v>
      </c>
      <c r="E277" s="137">
        <f>F277-2%</f>
        <v>0.02</v>
      </c>
      <c r="F277" s="138">
        <v>0.04</v>
      </c>
      <c r="G277" s="137">
        <f>F277+2%</f>
        <v>0.06</v>
      </c>
      <c r="H277" s="137">
        <f>G277+2%</f>
        <v>0.08</v>
      </c>
      <c r="I277" s="95"/>
      <c r="J277" s="95"/>
      <c r="K277" s="136">
        <f>I38</f>
        <v>4675475.3788500009</v>
      </c>
      <c r="L277" s="137">
        <f>M277-2%</f>
        <v>-0.04</v>
      </c>
      <c r="M277" s="137">
        <f>N277-2%</f>
        <v>-0.02</v>
      </c>
      <c r="N277" s="138">
        <v>0</v>
      </c>
      <c r="O277" s="137">
        <f>N277+2%</f>
        <v>0.02</v>
      </c>
      <c r="P277" s="137">
        <f>O277+2%</f>
        <v>0.04</v>
      </c>
    </row>
    <row r="278" spans="2:16" s="44" customFormat="1" ht="16" customHeight="1">
      <c r="B278" s="139" t="s">
        <v>111</v>
      </c>
      <c r="C278" s="140">
        <f>C279+1%</f>
        <v>0.43</v>
      </c>
      <c r="D278" s="141">
        <f t="dataTable" ref="D278:H283" dt2D="1" dtr="1" r1="I30" r2="I31"/>
        <v>4675475.3788500009</v>
      </c>
      <c r="E278" s="141">
        <v>4675475.3788500009</v>
      </c>
      <c r="F278" s="141">
        <v>4675475.3788500009</v>
      </c>
      <c r="G278" s="141">
        <v>4675475.3788500009</v>
      </c>
      <c r="H278" s="141">
        <v>4675475.3788500009</v>
      </c>
      <c r="I278" s="95"/>
      <c r="J278" s="139" t="s">
        <v>120</v>
      </c>
      <c r="K278" s="140">
        <f>K279-0.5%</f>
        <v>0.27</v>
      </c>
      <c r="L278" s="141">
        <f t="dataTable" ref="L278:P283" dt2D="1" dtr="1" r1="I30" r2="I32"/>
        <v>4675475.3788500009</v>
      </c>
      <c r="M278" s="141">
        <v>4675475.3788500009</v>
      </c>
      <c r="N278" s="141">
        <v>4675475.3788500009</v>
      </c>
      <c r="O278" s="141">
        <v>4675475.3788500009</v>
      </c>
      <c r="P278" s="141">
        <v>4675475.3788500009</v>
      </c>
    </row>
    <row r="279" spans="2:16" s="44" customFormat="1" ht="16" customHeight="1">
      <c r="B279" s="139" t="s">
        <v>112</v>
      </c>
      <c r="C279" s="140">
        <f>C280+1%</f>
        <v>0.42</v>
      </c>
      <c r="D279" s="141">
        <v>4675475.3788500009</v>
      </c>
      <c r="E279" s="141">
        <v>4675475.3788500009</v>
      </c>
      <c r="F279" s="141">
        <v>4675475.3788500009</v>
      </c>
      <c r="G279" s="141">
        <v>4675475.3788500009</v>
      </c>
      <c r="H279" s="141">
        <v>4675475.3788500009</v>
      </c>
      <c r="I279" s="95"/>
      <c r="J279" s="139"/>
      <c r="K279" s="140">
        <f>K280-0.5%</f>
        <v>0.27500000000000002</v>
      </c>
      <c r="L279" s="141">
        <v>4675475.3788500009</v>
      </c>
      <c r="M279" s="141">
        <v>4675475.3788500009</v>
      </c>
      <c r="N279" s="141">
        <v>4675475.3788500009</v>
      </c>
      <c r="O279" s="141">
        <v>4675475.3788500009</v>
      </c>
      <c r="P279" s="141">
        <v>4675475.3788500009</v>
      </c>
    </row>
    <row r="280" spans="2:16" s="44" customFormat="1" ht="16" customHeight="1">
      <c r="B280" s="139" t="s">
        <v>113</v>
      </c>
      <c r="C280" s="142">
        <v>0.41</v>
      </c>
      <c r="D280" s="141">
        <v>4675475.3788500009</v>
      </c>
      <c r="E280" s="141">
        <v>4675475.3788500009</v>
      </c>
      <c r="F280" s="141">
        <v>4675475.3788500009</v>
      </c>
      <c r="G280" s="141">
        <v>4675475.3788500009</v>
      </c>
      <c r="H280" s="141">
        <v>4675475.3788500009</v>
      </c>
      <c r="I280" s="95"/>
      <c r="J280" s="139"/>
      <c r="K280" s="142">
        <v>0.28000000000000003</v>
      </c>
      <c r="L280" s="141">
        <v>4675475.3788500009</v>
      </c>
      <c r="M280" s="141">
        <v>4675475.3788500009</v>
      </c>
      <c r="N280" s="141">
        <v>4675475.3788500009</v>
      </c>
      <c r="O280" s="141">
        <v>4675475.3788500009</v>
      </c>
      <c r="P280" s="141">
        <v>4675475.3788500009</v>
      </c>
    </row>
    <row r="281" spans="2:16" s="44" customFormat="1" ht="16" customHeight="1">
      <c r="B281" s="139"/>
      <c r="C281" s="140">
        <f>C280-1%</f>
        <v>0.39999999999999997</v>
      </c>
      <c r="D281" s="141">
        <v>4675475.3788500009</v>
      </c>
      <c r="E281" s="141">
        <v>4675475.3788500009</v>
      </c>
      <c r="F281" s="141">
        <v>4675475.3788500009</v>
      </c>
      <c r="G281" s="141">
        <v>4675475.3788500009</v>
      </c>
      <c r="H281" s="141">
        <v>4675475.3788500009</v>
      </c>
      <c r="I281" s="95"/>
      <c r="J281" s="139"/>
      <c r="K281" s="140">
        <f>K280+0.5%</f>
        <v>0.28500000000000003</v>
      </c>
      <c r="L281" s="141">
        <v>4675475.3788500009</v>
      </c>
      <c r="M281" s="141">
        <v>4675475.3788500009</v>
      </c>
      <c r="N281" s="141">
        <v>4675475.3788500009</v>
      </c>
      <c r="O281" s="141">
        <v>4675475.3788500009</v>
      </c>
      <c r="P281" s="141">
        <v>4675475.3788500009</v>
      </c>
    </row>
    <row r="282" spans="2:16" s="44" customFormat="1" ht="16" customHeight="1">
      <c r="B282" s="95"/>
      <c r="C282" s="140">
        <f>C281-1%</f>
        <v>0.38999999999999996</v>
      </c>
      <c r="D282" s="141">
        <v>4675475.3788500009</v>
      </c>
      <c r="E282" s="141">
        <v>4675475.3788500009</v>
      </c>
      <c r="F282" s="141">
        <v>4675475.3788500009</v>
      </c>
      <c r="G282" s="141">
        <v>4675475.3788500009</v>
      </c>
      <c r="H282" s="141">
        <v>4675475.3788500009</v>
      </c>
      <c r="I282" s="95"/>
      <c r="J282" s="95"/>
      <c r="K282" s="140">
        <f>K281+0.5%</f>
        <v>0.29000000000000004</v>
      </c>
      <c r="L282" s="141">
        <v>4675475.3788500009</v>
      </c>
      <c r="M282" s="141">
        <v>4675475.3788500009</v>
      </c>
      <c r="N282" s="141">
        <v>4675475.3788500009</v>
      </c>
      <c r="O282" s="141">
        <v>4675475.3788500009</v>
      </c>
      <c r="P282" s="141">
        <v>4675475.3788500009</v>
      </c>
    </row>
    <row r="283" spans="2:16" s="44" customFormat="1" ht="16" customHeight="1">
      <c r="B283" s="95"/>
      <c r="C283" s="140">
        <f>C282-1%</f>
        <v>0.37999999999999995</v>
      </c>
      <c r="D283" s="141">
        <v>4675475.3788500009</v>
      </c>
      <c r="E283" s="141">
        <v>4675475.3788500009</v>
      </c>
      <c r="F283" s="141">
        <v>4675475.3788500009</v>
      </c>
      <c r="G283" s="141">
        <v>4675475.3788500009</v>
      </c>
      <c r="H283" s="141">
        <v>4675475.3788500009</v>
      </c>
      <c r="I283" s="95"/>
      <c r="J283" s="95"/>
      <c r="K283" s="140">
        <f>K282+0.5%</f>
        <v>0.29500000000000004</v>
      </c>
      <c r="L283" s="141">
        <v>4675475.3788500009</v>
      </c>
      <c r="M283" s="141">
        <v>4675475.3788500009</v>
      </c>
      <c r="N283" s="141">
        <v>4675475.3788500009</v>
      </c>
      <c r="O283" s="141">
        <v>4675475.3788500009</v>
      </c>
      <c r="P283" s="141">
        <v>4675475.3788500009</v>
      </c>
    </row>
    <row r="284" spans="2:16" s="44" customFormat="1" ht="16" customHeight="1">
      <c r="B284" s="95"/>
      <c r="C284" s="95"/>
      <c r="D284" s="95"/>
      <c r="E284" s="95"/>
      <c r="F284" s="95"/>
      <c r="G284" s="95"/>
      <c r="H284" s="95"/>
      <c r="I284" s="95"/>
      <c r="J284" s="95"/>
      <c r="K284" s="132"/>
    </row>
    <row r="285" spans="2:16" s="44" customFormat="1" ht="16" customHeight="1" thickBot="1">
      <c r="B285" s="133" t="s">
        <v>246</v>
      </c>
      <c r="C285" s="133"/>
      <c r="D285" s="134"/>
      <c r="E285" s="134"/>
      <c r="F285" s="134"/>
      <c r="G285" s="134"/>
      <c r="H285" s="134"/>
      <c r="I285" s="95"/>
      <c r="J285" s="95"/>
      <c r="K285" s="132"/>
    </row>
    <row r="286" spans="2:16" s="44" customFormat="1" ht="16" customHeight="1">
      <c r="B286" s="95"/>
      <c r="C286" s="95"/>
      <c r="D286" s="135" t="s">
        <v>14</v>
      </c>
      <c r="E286" s="135"/>
      <c r="F286" s="135"/>
      <c r="G286" s="135"/>
      <c r="H286" s="135"/>
      <c r="I286" s="95"/>
      <c r="J286" s="95"/>
      <c r="K286" s="132"/>
    </row>
    <row r="287" spans="2:16" s="44" customFormat="1" ht="16" customHeight="1" thickBot="1">
      <c r="B287" s="95"/>
      <c r="C287" s="143">
        <f>I38</f>
        <v>4675475.3788500009</v>
      </c>
      <c r="D287" s="137">
        <f>E287-2%</f>
        <v>0</v>
      </c>
      <c r="E287" s="137">
        <f>F287-2%</f>
        <v>0.02</v>
      </c>
      <c r="F287" s="138">
        <v>0.04</v>
      </c>
      <c r="G287" s="137">
        <f>F287+2%</f>
        <v>0.06</v>
      </c>
      <c r="H287" s="137">
        <f>G287+2%</f>
        <v>0.08</v>
      </c>
      <c r="I287" s="95"/>
      <c r="J287" s="95"/>
      <c r="K287" s="132"/>
    </row>
    <row r="288" spans="2:16" s="44" customFormat="1" ht="16" customHeight="1">
      <c r="B288" s="95"/>
      <c r="C288" s="140">
        <f>C289+2%</f>
        <v>0.04</v>
      </c>
      <c r="D288" s="141">
        <f t="dataTable" ref="D288:H292" dt2D="1" dtr="1" r1="I63" r2="I53"/>
        <v>4675475.3788500009</v>
      </c>
      <c r="E288" s="141">
        <v>4675475.3788500009</v>
      </c>
      <c r="F288" s="141">
        <v>4675475.3788500009</v>
      </c>
      <c r="G288" s="141">
        <v>4675475.3788500009</v>
      </c>
      <c r="H288" s="141">
        <v>4675475.3788500009</v>
      </c>
      <c r="I288" s="95"/>
      <c r="J288" s="95"/>
      <c r="K288" s="132"/>
    </row>
    <row r="289" spans="2:14" s="44" customFormat="1" ht="16" customHeight="1">
      <c r="B289" s="95"/>
      <c r="C289" s="140">
        <f>C290+2%</f>
        <v>0.02</v>
      </c>
      <c r="D289" s="141">
        <v>4675475.3788500009</v>
      </c>
      <c r="E289" s="141">
        <v>4675475.3788500009</v>
      </c>
      <c r="F289" s="141">
        <v>4675475.3788500009</v>
      </c>
      <c r="G289" s="141">
        <v>4675475.3788500009</v>
      </c>
      <c r="H289" s="141">
        <v>4675475.3788500009</v>
      </c>
      <c r="I289" s="95"/>
      <c r="J289" s="95"/>
      <c r="K289" s="132"/>
    </row>
    <row r="290" spans="2:14" s="44" customFormat="1" ht="16" customHeight="1">
      <c r="B290" s="139"/>
      <c r="C290" s="140">
        <v>0</v>
      </c>
      <c r="D290" s="141">
        <v>4675475.3788500009</v>
      </c>
      <c r="E290" s="141">
        <v>4675475.3788500009</v>
      </c>
      <c r="F290" s="141">
        <v>4675475.3788500009</v>
      </c>
      <c r="G290" s="141">
        <v>4675475.3788500009</v>
      </c>
      <c r="H290" s="141">
        <v>4675475.3788500009</v>
      </c>
      <c r="I290" s="95"/>
      <c r="J290" s="95"/>
      <c r="K290" s="132"/>
    </row>
    <row r="291" spans="2:14" s="44" customFormat="1" ht="16" customHeight="1">
      <c r="B291" s="139" t="s">
        <v>247</v>
      </c>
      <c r="C291" s="140">
        <f>C290-2%</f>
        <v>-0.02</v>
      </c>
      <c r="D291" s="141">
        <v>4675475.3788500009</v>
      </c>
      <c r="E291" s="141">
        <v>4675475.3788500009</v>
      </c>
      <c r="F291" s="141">
        <v>4675475.3788500009</v>
      </c>
      <c r="G291" s="141">
        <v>4675475.3788500009</v>
      </c>
      <c r="H291" s="141">
        <v>4675475.3788500009</v>
      </c>
      <c r="I291" s="95"/>
      <c r="J291" s="95"/>
      <c r="K291" s="132"/>
    </row>
    <row r="292" spans="2:14" s="44" customFormat="1" ht="16" customHeight="1">
      <c r="B292" s="139" t="s">
        <v>114</v>
      </c>
      <c r="C292" s="140">
        <f>C291-2%</f>
        <v>-0.04</v>
      </c>
      <c r="D292" s="141">
        <v>4675475.3788500009</v>
      </c>
      <c r="E292" s="141">
        <v>4675475.3788500009</v>
      </c>
      <c r="F292" s="141">
        <v>4675475.3788500009</v>
      </c>
      <c r="G292" s="141">
        <v>4675475.3788500009</v>
      </c>
      <c r="H292" s="141">
        <v>4675475.3788500009</v>
      </c>
      <c r="I292" s="95"/>
      <c r="J292" s="95"/>
      <c r="K292" s="132"/>
    </row>
    <row r="293" spans="2:14" s="44" customFormat="1" ht="16" customHeight="1">
      <c r="B293" s="95"/>
      <c r="C293" s="140"/>
      <c r="D293" s="144"/>
      <c r="E293" s="144"/>
      <c r="F293" s="144"/>
      <c r="G293" s="144"/>
      <c r="H293" s="144"/>
      <c r="I293" s="95"/>
      <c r="J293" s="95"/>
      <c r="K293" s="132"/>
    </row>
    <row r="294" spans="2:14" s="44" customFormat="1" ht="16" customHeight="1"/>
    <row r="295" spans="2:14" s="44" customFormat="1" ht="16" customHeight="1">
      <c r="B295" s="38" t="s">
        <v>115</v>
      </c>
      <c r="C295" s="54"/>
      <c r="D295" s="39"/>
      <c r="E295" s="39"/>
      <c r="F295" s="39"/>
      <c r="G295" s="40"/>
      <c r="H295" s="40"/>
      <c r="I295" s="40"/>
      <c r="J295" s="40"/>
      <c r="K295" s="40"/>
      <c r="L295" s="40"/>
      <c r="M295" s="40"/>
    </row>
    <row r="296" spans="2:14" s="44" customFormat="1" ht="16" customHeight="1">
      <c r="B296" s="45" t="str">
        <f>$B$10</f>
        <v xml:space="preserve">Fiscal year  </v>
      </c>
      <c r="C296" s="46"/>
      <c r="D296" s="47">
        <f ca="1">D$10</f>
        <v>2016</v>
      </c>
      <c r="E296" s="47">
        <f t="shared" ref="E296:I296" ca="1" si="172">E$10</f>
        <v>2017</v>
      </c>
      <c r="F296" s="47">
        <f t="shared" ca="1" si="172"/>
        <v>2018</v>
      </c>
      <c r="G296" s="47">
        <f t="shared" ca="1" si="172"/>
        <v>2019</v>
      </c>
      <c r="H296" s="47">
        <f t="shared" ca="1" si="172"/>
        <v>2020</v>
      </c>
      <c r="I296" s="47">
        <f t="shared" ca="1" si="172"/>
        <v>2021</v>
      </c>
      <c r="J296" s="48">
        <f ca="1">J$10</f>
        <v>2022</v>
      </c>
      <c r="K296" s="48">
        <f t="shared" ref="K296:N296" ca="1" si="173">K$10</f>
        <v>2023</v>
      </c>
      <c r="L296" s="48">
        <f t="shared" ca="1" si="173"/>
        <v>2024</v>
      </c>
      <c r="M296" s="48">
        <f t="shared" ca="1" si="173"/>
        <v>2025</v>
      </c>
      <c r="N296" s="48">
        <f t="shared" ca="1" si="173"/>
        <v>2026</v>
      </c>
    </row>
    <row r="297" spans="2:14" s="44" customFormat="1" ht="16" customHeight="1">
      <c r="B297" s="51" t="str">
        <f>$B$11</f>
        <v>Fiscal year end date</v>
      </c>
      <c r="C297" s="52"/>
      <c r="D297" s="53">
        <f>D$11</f>
        <v>42460</v>
      </c>
      <c r="E297" s="53">
        <f t="shared" ref="E297:I297" si="174">E$11</f>
        <v>42825</v>
      </c>
      <c r="F297" s="53">
        <f t="shared" si="174"/>
        <v>43190</v>
      </c>
      <c r="G297" s="53">
        <f t="shared" si="174"/>
        <v>43555</v>
      </c>
      <c r="H297" s="53">
        <f t="shared" si="174"/>
        <v>43921</v>
      </c>
      <c r="I297" s="53">
        <f t="shared" si="174"/>
        <v>44286</v>
      </c>
      <c r="J297" s="54">
        <f>J$11</f>
        <v>44651</v>
      </c>
      <c r="K297" s="54">
        <f t="shared" ref="K297:N297" si="175">K$11</f>
        <v>45016</v>
      </c>
      <c r="L297" s="54">
        <f t="shared" si="175"/>
        <v>45382</v>
      </c>
      <c r="M297" s="54">
        <f t="shared" si="175"/>
        <v>45747</v>
      </c>
      <c r="N297" s="54">
        <f t="shared" si="175"/>
        <v>46112</v>
      </c>
    </row>
    <row r="298" spans="2:14" s="44" customFormat="1" ht="16" customHeight="1" thickBot="1"/>
    <row r="299" spans="2:14" s="44" customFormat="1" ht="16" customHeight="1" thickBot="1">
      <c r="B299" s="145" t="s">
        <v>122</v>
      </c>
      <c r="C299" s="146"/>
      <c r="D299" s="146"/>
      <c r="E299" s="147" t="str">
        <f>M5</f>
        <v>Base</v>
      </c>
    </row>
    <row r="300" spans="2:14" s="44" customFormat="1" ht="16" customHeight="1"/>
    <row r="301" spans="2:14" s="44" customFormat="1" ht="16" customHeight="1">
      <c r="B301" s="72"/>
    </row>
    <row r="302" spans="2:14" s="44" customFormat="1" ht="16" customHeight="1">
      <c r="B302" s="72" t="s">
        <v>16</v>
      </c>
      <c r="I302" s="148"/>
      <c r="J302" s="148">
        <f t="shared" ref="J302:N311" ca="1" si="176">OFFSET(J$315,MATCH($E$299,$B$316:$B$318,0)+MATCH($B302,$B$315:$B$354,0)-1,0)</f>
        <v>0.28999999999999998</v>
      </c>
      <c r="K302" s="148">
        <f t="shared" ca="1" si="176"/>
        <v>0.28999999999999998</v>
      </c>
      <c r="L302" s="148">
        <f t="shared" ca="1" si="176"/>
        <v>0.28999999999999998</v>
      </c>
      <c r="M302" s="148">
        <f t="shared" ca="1" si="176"/>
        <v>0.28999999999999998</v>
      </c>
      <c r="N302" s="148">
        <f t="shared" ca="1" si="176"/>
        <v>0.28999999999999998</v>
      </c>
    </row>
    <row r="303" spans="2:14" s="44" customFormat="1" ht="16" customHeight="1">
      <c r="B303" s="72" t="s">
        <v>17</v>
      </c>
      <c r="I303" s="148"/>
      <c r="J303" s="148">
        <f t="shared" ca="1" si="176"/>
        <v>0.21</v>
      </c>
      <c r="K303" s="148">
        <f t="shared" ca="1" si="176"/>
        <v>0.21</v>
      </c>
      <c r="L303" s="148">
        <f t="shared" ca="1" si="176"/>
        <v>0.21</v>
      </c>
      <c r="M303" s="148">
        <f t="shared" ca="1" si="176"/>
        <v>0.21</v>
      </c>
      <c r="N303" s="148">
        <f t="shared" ca="1" si="176"/>
        <v>0.21</v>
      </c>
    </row>
    <row r="304" spans="2:14" s="44" customFormat="1" ht="16" customHeight="1">
      <c r="B304" s="72" t="s">
        <v>143</v>
      </c>
      <c r="E304" s="149">
        <f>E53</f>
        <v>0.48780487804878048</v>
      </c>
      <c r="F304" s="149">
        <f>F53</f>
        <v>-1.5432917737358665E-2</v>
      </c>
      <c r="G304" s="149">
        <f>G53</f>
        <v>0.44858540762818522</v>
      </c>
      <c r="H304" s="149">
        <f>H53</f>
        <v>0.19540229885057481</v>
      </c>
      <c r="I304" s="149">
        <f>I53</f>
        <v>0.10576923076923084</v>
      </c>
      <c r="J304" s="148">
        <f t="shared" ca="1" si="176"/>
        <v>0.1</v>
      </c>
      <c r="K304" s="148">
        <f t="shared" ca="1" si="176"/>
        <v>0.08</v>
      </c>
      <c r="L304" s="148">
        <f t="shared" ca="1" si="176"/>
        <v>0.06</v>
      </c>
      <c r="M304" s="148">
        <f t="shared" ca="1" si="176"/>
        <v>0.05</v>
      </c>
      <c r="N304" s="148">
        <f t="shared" ca="1" si="176"/>
        <v>0.04</v>
      </c>
    </row>
    <row r="305" spans="2:14" s="44" customFormat="1" ht="16" customHeight="1">
      <c r="B305" s="72" t="s">
        <v>144</v>
      </c>
      <c r="E305" s="149">
        <f>E63</f>
        <v>-3.0580096761121722E-2</v>
      </c>
      <c r="F305" s="149">
        <f>F63</f>
        <v>3.1544737898357766E-2</v>
      </c>
      <c r="G305" s="149">
        <f>G63</f>
        <v>2.5631147976695523E-2</v>
      </c>
      <c r="H305" s="149">
        <f>H63</f>
        <v>3.8461538461536104E-3</v>
      </c>
      <c r="I305" s="149">
        <f>I63</f>
        <v>1.2869565923953719E-2</v>
      </c>
      <c r="J305" s="148">
        <f t="shared" ca="1" si="176"/>
        <v>0.02</v>
      </c>
      <c r="K305" s="148">
        <f t="shared" ca="1" si="176"/>
        <v>0.02</v>
      </c>
      <c r="L305" s="148">
        <f t="shared" ca="1" si="176"/>
        <v>0.02</v>
      </c>
      <c r="M305" s="148">
        <f t="shared" ca="1" si="176"/>
        <v>0.02</v>
      </c>
      <c r="N305" s="148">
        <f t="shared" ca="1" si="176"/>
        <v>0.02</v>
      </c>
    </row>
    <row r="306" spans="2:14" s="44" customFormat="1" ht="16" customHeight="1">
      <c r="B306" s="72" t="s">
        <v>145</v>
      </c>
      <c r="E306" s="149">
        <f>E55</f>
        <v>0.48275862068965525</v>
      </c>
      <c r="F306" s="149">
        <f>F55</f>
        <v>-1.2082150582749418E-2</v>
      </c>
      <c r="G306" s="149">
        <f>G55</f>
        <v>0.4594942949626819</v>
      </c>
      <c r="H306" s="149">
        <f>H55</f>
        <v>0.16129032258064524</v>
      </c>
      <c r="I306" s="149">
        <f>I55</f>
        <v>9.7222222222222321E-2</v>
      </c>
      <c r="J306" s="148">
        <f t="shared" ca="1" si="176"/>
        <v>0.1</v>
      </c>
      <c r="K306" s="148">
        <f t="shared" ca="1" si="176"/>
        <v>0.12</v>
      </c>
      <c r="L306" s="148">
        <f t="shared" ca="1" si="176"/>
        <v>0.14000000000000001</v>
      </c>
      <c r="M306" s="148">
        <f t="shared" ca="1" si="176"/>
        <v>0.15</v>
      </c>
      <c r="N306" s="148">
        <f t="shared" ca="1" si="176"/>
        <v>0.12</v>
      </c>
    </row>
    <row r="307" spans="2:14" s="44" customFormat="1" ht="16" customHeight="1">
      <c r="B307" s="72" t="s">
        <v>146</v>
      </c>
      <c r="E307" s="149">
        <f>E65</f>
        <v>-2.7280879847092598E-2</v>
      </c>
      <c r="F307" s="149">
        <f>F65</f>
        <v>2.8045999386548504E-2</v>
      </c>
      <c r="G307" s="149">
        <f>G65</f>
        <v>1.7965140183006767E-2</v>
      </c>
      <c r="H307" s="149">
        <f>H65</f>
        <v>3.3333333333333215E-2</v>
      </c>
      <c r="I307" s="149">
        <f>I65</f>
        <v>2.0759494382952326E-2</v>
      </c>
      <c r="J307" s="148">
        <f t="shared" ca="1" si="176"/>
        <v>0.02</v>
      </c>
      <c r="K307" s="148">
        <f t="shared" ca="1" si="176"/>
        <v>0.02</v>
      </c>
      <c r="L307" s="148">
        <f t="shared" ca="1" si="176"/>
        <v>0.02</v>
      </c>
      <c r="M307" s="148">
        <f t="shared" ca="1" si="176"/>
        <v>0.02</v>
      </c>
      <c r="N307" s="148">
        <f t="shared" ca="1" si="176"/>
        <v>0.02</v>
      </c>
    </row>
    <row r="308" spans="2:14" s="44" customFormat="1" ht="16" customHeight="1">
      <c r="B308" s="72" t="s">
        <v>147</v>
      </c>
      <c r="E308" s="149">
        <f>E57</f>
        <v>0.41666666666666674</v>
      </c>
      <c r="F308" s="149">
        <f>F57</f>
        <v>0</v>
      </c>
      <c r="G308" s="149">
        <f>G57</f>
        <v>0.47058823529411775</v>
      </c>
      <c r="H308" s="149">
        <f>H57</f>
        <v>0.17999999999999994</v>
      </c>
      <c r="I308" s="149">
        <f>I57</f>
        <v>8.4745762711864403E-2</v>
      </c>
      <c r="J308" s="148">
        <f t="shared" ca="1" si="176"/>
        <v>0.2</v>
      </c>
      <c r="K308" s="148">
        <f t="shared" ca="1" si="176"/>
        <v>0.25</v>
      </c>
      <c r="L308" s="148">
        <f t="shared" ca="1" si="176"/>
        <v>0.3</v>
      </c>
      <c r="M308" s="148">
        <f t="shared" ca="1" si="176"/>
        <v>0.2</v>
      </c>
      <c r="N308" s="148">
        <f t="shared" ca="1" si="176"/>
        <v>0.15</v>
      </c>
    </row>
    <row r="309" spans="2:14" s="44" customFormat="1" ht="16" customHeight="1">
      <c r="B309" s="72" t="s">
        <v>148</v>
      </c>
      <c r="E309" s="149">
        <f>E67</f>
        <v>1.8099525352738732E-2</v>
      </c>
      <c r="F309" s="149">
        <f>F67</f>
        <v>1.5624992815967298E-2</v>
      </c>
      <c r="G309" s="149">
        <f>G67</f>
        <v>1.0285733906229888E-2</v>
      </c>
      <c r="H309" s="149">
        <f>H67</f>
        <v>1.6949152542373058E-2</v>
      </c>
      <c r="I309" s="149">
        <f>I67</f>
        <v>3.250000072025605E-2</v>
      </c>
      <c r="J309" s="148">
        <f t="shared" ca="1" si="176"/>
        <v>0.02</v>
      </c>
      <c r="K309" s="148">
        <f t="shared" ca="1" si="176"/>
        <v>0.02</v>
      </c>
      <c r="L309" s="148">
        <f t="shared" ca="1" si="176"/>
        <v>0.02</v>
      </c>
      <c r="M309" s="148">
        <f t="shared" ca="1" si="176"/>
        <v>0.02</v>
      </c>
      <c r="N309" s="148">
        <f t="shared" ca="1" si="176"/>
        <v>0.02</v>
      </c>
    </row>
    <row r="310" spans="2:14" s="44" customFormat="1" ht="16" customHeight="1">
      <c r="B310" s="150" t="s">
        <v>150</v>
      </c>
      <c r="I310" s="148"/>
      <c r="J310" s="148">
        <f t="shared" ca="1" si="176"/>
        <v>0</v>
      </c>
      <c r="K310" s="148">
        <f t="shared" ca="1" si="176"/>
        <v>1</v>
      </c>
      <c r="L310" s="148">
        <f t="shared" ca="1" si="176"/>
        <v>1</v>
      </c>
      <c r="M310" s="148">
        <f t="shared" ca="1" si="176"/>
        <v>0.8</v>
      </c>
      <c r="N310" s="148">
        <f t="shared" ca="1" si="176"/>
        <v>0.67</v>
      </c>
    </row>
    <row r="311" spans="2:14" s="44" customFormat="1" ht="16" customHeight="1">
      <c r="B311" s="150" t="s">
        <v>151</v>
      </c>
      <c r="I311" s="148"/>
      <c r="J311" s="148">
        <f t="shared" ca="1" si="176"/>
        <v>0</v>
      </c>
      <c r="K311" s="148">
        <f t="shared" ca="1" si="176"/>
        <v>0.02</v>
      </c>
      <c r="L311" s="148">
        <f t="shared" ca="1" si="176"/>
        <v>0.02</v>
      </c>
      <c r="M311" s="148">
        <f t="shared" ca="1" si="176"/>
        <v>0.02</v>
      </c>
      <c r="N311" s="148">
        <f t="shared" ca="1" si="176"/>
        <v>0.02</v>
      </c>
    </row>
    <row r="312" spans="2:14" s="44" customFormat="1" ht="16" customHeight="1">
      <c r="B312" s="151" t="s">
        <v>153</v>
      </c>
      <c r="I312" s="148"/>
      <c r="J312" s="61">
        <f ca="1">OFFSET(J$315,MATCH($E$299,$B$316:$B$318,0)+MATCH($B312,$B$315:$B$362,0)-1,0)</f>
        <v>4</v>
      </c>
      <c r="K312" s="148"/>
      <c r="L312" s="148"/>
      <c r="M312" s="148"/>
      <c r="N312" s="148"/>
    </row>
    <row r="313" spans="2:14" s="44" customFormat="1" ht="16" customHeight="1">
      <c r="B313" s="151" t="s">
        <v>154</v>
      </c>
      <c r="I313" s="148"/>
      <c r="J313" s="61">
        <f ca="1">OFFSET(J$315,MATCH($E$299,$B$316:$B$318,0)+MATCH($B313,$B$315:$B$362,0)-1,0)</f>
        <v>500000</v>
      </c>
      <c r="K313" s="148"/>
      <c r="L313" s="148"/>
      <c r="M313" s="148"/>
      <c r="N313" s="148"/>
    </row>
    <row r="314" spans="2:14" s="44" customFormat="1" ht="16" customHeight="1"/>
    <row r="315" spans="2:14" s="44" customFormat="1" ht="16" customHeight="1">
      <c r="B315" s="97" t="s">
        <v>16</v>
      </c>
    </row>
    <row r="316" spans="2:14" s="44" customFormat="1" ht="16" customHeight="1">
      <c r="B316" s="152" t="s">
        <v>117</v>
      </c>
      <c r="I316" s="153"/>
      <c r="J316" s="153">
        <v>0.29399999999999998</v>
      </c>
      <c r="K316" s="153">
        <v>0.29799999999999999</v>
      </c>
      <c r="L316" s="153">
        <v>0.30199999999999999</v>
      </c>
      <c r="M316" s="153">
        <v>0.30599999999999999</v>
      </c>
      <c r="N316" s="153">
        <v>0.31</v>
      </c>
    </row>
    <row r="317" spans="2:14" s="44" customFormat="1" ht="16" customHeight="1">
      <c r="B317" s="152" t="s">
        <v>118</v>
      </c>
      <c r="I317" s="153"/>
      <c r="J317" s="153">
        <v>0.28999999999999998</v>
      </c>
      <c r="K317" s="153">
        <v>0.28999999999999998</v>
      </c>
      <c r="L317" s="153">
        <v>0.28999999999999998</v>
      </c>
      <c r="M317" s="153">
        <v>0.28999999999999998</v>
      </c>
      <c r="N317" s="153">
        <v>0.28999999999999998</v>
      </c>
    </row>
    <row r="318" spans="2:14" s="44" customFormat="1" ht="16" customHeight="1">
      <c r="B318" s="152" t="s">
        <v>152</v>
      </c>
      <c r="I318" s="153"/>
      <c r="J318" s="153">
        <v>0.28599999999999998</v>
      </c>
      <c r="K318" s="153">
        <v>0.28199999999999997</v>
      </c>
      <c r="L318" s="153">
        <v>0.27800000000000002</v>
      </c>
      <c r="M318" s="153">
        <v>0.27200000000000002</v>
      </c>
      <c r="N318" s="153">
        <v>0.26800000000000002</v>
      </c>
    </row>
    <row r="319" spans="2:14" s="44" customFormat="1" ht="16" customHeight="1">
      <c r="B319" s="97" t="str">
        <f>B303</f>
        <v>Expense margin</v>
      </c>
      <c r="I319" s="153"/>
      <c r="J319" s="153"/>
      <c r="K319" s="153"/>
      <c r="L319" s="153"/>
      <c r="M319" s="154"/>
      <c r="N319" s="154"/>
    </row>
    <row r="320" spans="2:14" s="44" customFormat="1" ht="16" customHeight="1">
      <c r="B320" s="152" t="s">
        <v>117</v>
      </c>
      <c r="I320" s="153"/>
      <c r="J320" s="153">
        <v>0.20499999999999999</v>
      </c>
      <c r="K320" s="153">
        <f>J320-0.005</f>
        <v>0.19999999999999998</v>
      </c>
      <c r="L320" s="153">
        <f t="shared" ref="L320:N320" si="177">K320-0.005</f>
        <v>0.19499999999999998</v>
      </c>
      <c r="M320" s="153">
        <f t="shared" si="177"/>
        <v>0.18999999999999997</v>
      </c>
      <c r="N320" s="153">
        <f t="shared" si="177"/>
        <v>0.18499999999999997</v>
      </c>
    </row>
    <row r="321" spans="2:14" s="44" customFormat="1" ht="16" customHeight="1">
      <c r="B321" s="152" t="s">
        <v>118</v>
      </c>
      <c r="I321" s="153"/>
      <c r="J321" s="153">
        <v>0.21</v>
      </c>
      <c r="K321" s="153">
        <v>0.21</v>
      </c>
      <c r="L321" s="153">
        <v>0.21</v>
      </c>
      <c r="M321" s="153">
        <v>0.21</v>
      </c>
      <c r="N321" s="153">
        <v>0.21</v>
      </c>
    </row>
    <row r="322" spans="2:14" s="44" customFormat="1" ht="16" customHeight="1">
      <c r="B322" s="152" t="s">
        <v>152</v>
      </c>
      <c r="I322" s="153"/>
      <c r="J322" s="153">
        <v>0.215</v>
      </c>
      <c r="K322" s="153">
        <f>J322+0.005</f>
        <v>0.22</v>
      </c>
      <c r="L322" s="153">
        <f t="shared" ref="L322:N322" si="178">K322+0.005</f>
        <v>0.22500000000000001</v>
      </c>
      <c r="M322" s="153">
        <f t="shared" si="178"/>
        <v>0.23</v>
      </c>
      <c r="N322" s="153">
        <f t="shared" si="178"/>
        <v>0.23500000000000001</v>
      </c>
    </row>
    <row r="323" spans="2:14" s="44" customFormat="1" ht="16" customHeight="1">
      <c r="B323" s="97" t="str">
        <f>B304</f>
        <v>10 series Volume</v>
      </c>
      <c r="I323" s="153"/>
      <c r="J323" s="153"/>
      <c r="K323" s="153"/>
      <c r="L323" s="153"/>
      <c r="M323" s="154"/>
    </row>
    <row r="324" spans="2:14" s="44" customFormat="1" ht="16" customHeight="1">
      <c r="B324" s="152" t="s">
        <v>117</v>
      </c>
      <c r="I324" s="153"/>
      <c r="J324" s="153">
        <v>0.15</v>
      </c>
      <c r="K324" s="153">
        <v>0.13</v>
      </c>
      <c r="L324" s="153">
        <v>0.11</v>
      </c>
      <c r="M324" s="153">
        <v>0.1</v>
      </c>
      <c r="N324" s="155">
        <v>0.09</v>
      </c>
    </row>
    <row r="325" spans="2:14" s="44" customFormat="1" ht="16" customHeight="1">
      <c r="B325" s="152" t="s">
        <v>118</v>
      </c>
      <c r="I325" s="153"/>
      <c r="J325" s="153">
        <v>0.1</v>
      </c>
      <c r="K325" s="153">
        <v>0.08</v>
      </c>
      <c r="L325" s="153">
        <v>0.06</v>
      </c>
      <c r="M325" s="153">
        <v>0.05</v>
      </c>
      <c r="N325" s="155">
        <v>0.04</v>
      </c>
    </row>
    <row r="326" spans="2:14" s="44" customFormat="1" ht="16" customHeight="1">
      <c r="B326" s="152" t="s">
        <v>152</v>
      </c>
      <c r="I326" s="153"/>
      <c r="J326" s="153">
        <v>0.05</v>
      </c>
      <c r="K326" s="153">
        <v>0.04</v>
      </c>
      <c r="L326" s="153">
        <v>0.03</v>
      </c>
      <c r="M326" s="153">
        <v>0.02</v>
      </c>
      <c r="N326" s="155">
        <v>0.01</v>
      </c>
    </row>
    <row r="327" spans="2:14" s="44" customFormat="1" ht="16" customHeight="1">
      <c r="B327" s="97" t="str">
        <f>B305</f>
        <v>10 series ASP</v>
      </c>
      <c r="I327" s="153"/>
      <c r="J327" s="153"/>
      <c r="K327" s="153"/>
      <c r="L327" s="153"/>
      <c r="M327" s="153"/>
    </row>
    <row r="328" spans="2:14" s="44" customFormat="1" ht="16" customHeight="1">
      <c r="B328" s="152" t="s">
        <v>117</v>
      </c>
      <c r="I328" s="153"/>
      <c r="J328" s="153">
        <v>0.05</v>
      </c>
      <c r="K328" s="153">
        <v>0.05</v>
      </c>
      <c r="L328" s="153">
        <v>0.05</v>
      </c>
      <c r="M328" s="153">
        <v>0.05</v>
      </c>
      <c r="N328" s="153">
        <v>0.05</v>
      </c>
    </row>
    <row r="329" spans="2:14" s="44" customFormat="1" ht="16" customHeight="1">
      <c r="B329" s="152" t="s">
        <v>118</v>
      </c>
      <c r="I329" s="153"/>
      <c r="J329" s="153">
        <v>0.02</v>
      </c>
      <c r="K329" s="153">
        <v>0.02</v>
      </c>
      <c r="L329" s="153">
        <v>0.02</v>
      </c>
      <c r="M329" s="153">
        <v>0.02</v>
      </c>
      <c r="N329" s="155">
        <v>0.02</v>
      </c>
    </row>
    <row r="330" spans="2:14" s="44" customFormat="1" ht="16" customHeight="1">
      <c r="B330" s="152" t="s">
        <v>152</v>
      </c>
      <c r="I330" s="153"/>
      <c r="J330" s="153">
        <v>-0.05</v>
      </c>
      <c r="K330" s="153">
        <v>-0.05</v>
      </c>
      <c r="L330" s="153">
        <v>-0.05</v>
      </c>
      <c r="M330" s="153">
        <v>-0.05</v>
      </c>
      <c r="N330" s="153">
        <v>-0.05</v>
      </c>
    </row>
    <row r="331" spans="2:14" s="44" customFormat="1" ht="16" customHeight="1">
      <c r="B331" s="97" t="str">
        <f>B306</f>
        <v>20 series Volume</v>
      </c>
      <c r="I331" s="153"/>
      <c r="J331" s="153"/>
      <c r="K331" s="153"/>
      <c r="L331" s="153"/>
      <c r="M331" s="153"/>
    </row>
    <row r="332" spans="2:14" s="44" customFormat="1" ht="16" customHeight="1">
      <c r="B332" s="152" t="s">
        <v>117</v>
      </c>
      <c r="I332" s="153"/>
      <c r="J332" s="153">
        <v>0.15</v>
      </c>
      <c r="K332" s="153">
        <v>0.17</v>
      </c>
      <c r="L332" s="153">
        <v>0.18</v>
      </c>
      <c r="M332" s="153">
        <v>0.19</v>
      </c>
      <c r="N332" s="155">
        <v>0.2</v>
      </c>
    </row>
    <row r="333" spans="2:14" s="44" customFormat="1" ht="16" customHeight="1">
      <c r="B333" s="152" t="s">
        <v>118</v>
      </c>
      <c r="I333" s="153"/>
      <c r="J333" s="153">
        <v>0.1</v>
      </c>
      <c r="K333" s="153">
        <v>0.12</v>
      </c>
      <c r="L333" s="153">
        <v>0.14000000000000001</v>
      </c>
      <c r="M333" s="153">
        <v>0.15</v>
      </c>
      <c r="N333" s="155">
        <v>0.12</v>
      </c>
    </row>
    <row r="334" spans="2:14" s="44" customFormat="1" ht="16" customHeight="1">
      <c r="B334" s="152" t="s">
        <v>152</v>
      </c>
      <c r="I334" s="153"/>
      <c r="J334" s="153">
        <v>0.05</v>
      </c>
      <c r="K334" s="153">
        <v>0.05</v>
      </c>
      <c r="L334" s="153">
        <v>0.05</v>
      </c>
      <c r="M334" s="153">
        <v>0.05</v>
      </c>
      <c r="N334" s="155">
        <v>0.05</v>
      </c>
    </row>
    <row r="335" spans="2:14" s="44" customFormat="1" ht="16" customHeight="1">
      <c r="B335" s="97" t="str">
        <f>B307</f>
        <v>20 series ASP</v>
      </c>
      <c r="I335" s="153"/>
      <c r="J335" s="153"/>
      <c r="K335" s="153"/>
      <c r="L335" s="153"/>
      <c r="M335" s="153"/>
    </row>
    <row r="336" spans="2:14" s="44" customFormat="1" ht="16" customHeight="1">
      <c r="B336" s="152" t="s">
        <v>117</v>
      </c>
      <c r="I336" s="153"/>
      <c r="J336" s="153">
        <v>0.05</v>
      </c>
      <c r="K336" s="153">
        <v>0.05</v>
      </c>
      <c r="L336" s="153">
        <v>0.05</v>
      </c>
      <c r="M336" s="153">
        <v>0.05</v>
      </c>
      <c r="N336" s="153">
        <v>0.05</v>
      </c>
    </row>
    <row r="337" spans="2:14" s="44" customFormat="1" ht="16" customHeight="1">
      <c r="B337" s="152" t="s">
        <v>118</v>
      </c>
      <c r="I337" s="153"/>
      <c r="J337" s="153">
        <v>0.02</v>
      </c>
      <c r="K337" s="153">
        <v>0.02</v>
      </c>
      <c r="L337" s="153">
        <v>0.02</v>
      </c>
      <c r="M337" s="153">
        <v>0.02</v>
      </c>
      <c r="N337" s="155">
        <v>0.02</v>
      </c>
    </row>
    <row r="338" spans="2:14" s="44" customFormat="1" ht="16" customHeight="1">
      <c r="B338" s="152" t="s">
        <v>152</v>
      </c>
      <c r="I338" s="153"/>
      <c r="J338" s="153">
        <v>-0.05</v>
      </c>
      <c r="K338" s="153">
        <v>-0.05</v>
      </c>
      <c r="L338" s="153">
        <v>-0.05</v>
      </c>
      <c r="M338" s="153">
        <v>-0.05</v>
      </c>
      <c r="N338" s="153">
        <v>-0.05</v>
      </c>
    </row>
    <row r="339" spans="2:14" s="44" customFormat="1" ht="16" customHeight="1">
      <c r="B339" s="97" t="str">
        <f>B308</f>
        <v>30 series Volume</v>
      </c>
      <c r="I339" s="153"/>
      <c r="J339" s="153"/>
      <c r="K339" s="153"/>
      <c r="L339" s="153"/>
      <c r="M339" s="153"/>
    </row>
    <row r="340" spans="2:14" s="44" customFormat="1" ht="16" customHeight="1">
      <c r="B340" s="152" t="s">
        <v>117</v>
      </c>
      <c r="I340" s="153"/>
      <c r="J340" s="153">
        <v>0.3</v>
      </c>
      <c r="K340" s="153">
        <v>0.35</v>
      </c>
      <c r="L340" s="153">
        <v>0.4</v>
      </c>
      <c r="M340" s="153">
        <v>0.4</v>
      </c>
      <c r="N340" s="155">
        <v>0.4</v>
      </c>
    </row>
    <row r="341" spans="2:14" s="44" customFormat="1" ht="16" customHeight="1">
      <c r="B341" s="152" t="s">
        <v>118</v>
      </c>
      <c r="I341" s="153"/>
      <c r="J341" s="153">
        <v>0.2</v>
      </c>
      <c r="K341" s="153">
        <v>0.25</v>
      </c>
      <c r="L341" s="153">
        <v>0.3</v>
      </c>
      <c r="M341" s="153">
        <v>0.2</v>
      </c>
      <c r="N341" s="155">
        <v>0.15</v>
      </c>
    </row>
    <row r="342" spans="2:14" s="44" customFormat="1" ht="16" customHeight="1">
      <c r="B342" s="152" t="s">
        <v>152</v>
      </c>
      <c r="I342" s="153"/>
      <c r="J342" s="153">
        <v>0.1</v>
      </c>
      <c r="K342" s="153">
        <v>0.1</v>
      </c>
      <c r="L342" s="153">
        <v>0.1</v>
      </c>
      <c r="M342" s="153">
        <v>0.1</v>
      </c>
      <c r="N342" s="155">
        <v>0.1</v>
      </c>
    </row>
    <row r="343" spans="2:14" s="44" customFormat="1" ht="16" customHeight="1">
      <c r="B343" s="97" t="str">
        <f>B309</f>
        <v>30 series ASP</v>
      </c>
      <c r="I343" s="153"/>
      <c r="J343" s="153"/>
      <c r="K343" s="153"/>
      <c r="L343" s="153"/>
      <c r="M343" s="153"/>
    </row>
    <row r="344" spans="2:14" s="44" customFormat="1" ht="16" customHeight="1">
      <c r="B344" s="152" t="s">
        <v>117</v>
      </c>
      <c r="I344" s="153"/>
      <c r="J344" s="153">
        <v>0.05</v>
      </c>
      <c r="K344" s="153">
        <v>0.05</v>
      </c>
      <c r="L344" s="153">
        <v>0.05</v>
      </c>
      <c r="M344" s="153">
        <v>0.05</v>
      </c>
      <c r="N344" s="153">
        <v>0.05</v>
      </c>
    </row>
    <row r="345" spans="2:14" s="44" customFormat="1" ht="16" customHeight="1">
      <c r="B345" s="152" t="s">
        <v>118</v>
      </c>
      <c r="I345" s="153"/>
      <c r="J345" s="153">
        <v>0.02</v>
      </c>
      <c r="K345" s="153">
        <v>0.02</v>
      </c>
      <c r="L345" s="153">
        <v>0.02</v>
      </c>
      <c r="M345" s="153">
        <v>0.02</v>
      </c>
      <c r="N345" s="153">
        <v>0.02</v>
      </c>
    </row>
    <row r="346" spans="2:14" s="44" customFormat="1" ht="16" customHeight="1">
      <c r="B346" s="152" t="s">
        <v>152</v>
      </c>
      <c r="I346" s="153"/>
      <c r="J346" s="153">
        <v>-0.05</v>
      </c>
      <c r="K346" s="153">
        <v>-0.05</v>
      </c>
      <c r="L346" s="153">
        <v>-0.05</v>
      </c>
      <c r="M346" s="153">
        <v>-0.05</v>
      </c>
      <c r="N346" s="153">
        <v>-0.05</v>
      </c>
    </row>
    <row r="347" spans="2:14" s="44" customFormat="1" ht="16" customHeight="1">
      <c r="B347" s="97" t="str">
        <f>B310</f>
        <v>OTT Volume</v>
      </c>
      <c r="I347" s="153"/>
      <c r="J347" s="153"/>
      <c r="K347" s="153"/>
      <c r="L347" s="153"/>
      <c r="M347" s="153"/>
    </row>
    <row r="348" spans="2:14" s="44" customFormat="1" ht="16" customHeight="1">
      <c r="B348" s="152" t="s">
        <v>117</v>
      </c>
      <c r="I348" s="153"/>
      <c r="J348" s="153"/>
      <c r="K348" s="153">
        <v>2</v>
      </c>
      <c r="L348" s="153">
        <v>2</v>
      </c>
      <c r="M348" s="153">
        <v>1.75</v>
      </c>
      <c r="N348" s="194">
        <v>1.5</v>
      </c>
    </row>
    <row r="349" spans="2:14" s="44" customFormat="1" ht="16" customHeight="1">
      <c r="B349" s="152" t="s">
        <v>118</v>
      </c>
      <c r="I349" s="153"/>
      <c r="J349" s="153"/>
      <c r="K349" s="153">
        <v>1</v>
      </c>
      <c r="L349" s="153">
        <v>1</v>
      </c>
      <c r="M349" s="153">
        <v>0.8</v>
      </c>
      <c r="N349" s="155">
        <v>0.67</v>
      </c>
    </row>
    <row r="350" spans="2:14" s="44" customFormat="1" ht="16" customHeight="1">
      <c r="B350" s="152" t="s">
        <v>152</v>
      </c>
      <c r="I350" s="153"/>
      <c r="J350" s="153"/>
      <c r="K350" s="153">
        <v>0.5</v>
      </c>
      <c r="L350" s="153">
        <v>0.5</v>
      </c>
      <c r="M350" s="153">
        <v>0.4</v>
      </c>
      <c r="N350" s="155">
        <v>0.3</v>
      </c>
    </row>
    <row r="351" spans="2:14" s="44" customFormat="1" ht="16" customHeight="1">
      <c r="B351" s="97" t="str">
        <f>B311</f>
        <v>OTT ASP</v>
      </c>
      <c r="I351" s="153"/>
      <c r="J351" s="153"/>
      <c r="K351" s="153"/>
      <c r="L351" s="153"/>
      <c r="M351" s="153"/>
    </row>
    <row r="352" spans="2:14" s="44" customFormat="1" ht="16" customHeight="1">
      <c r="B352" s="152" t="s">
        <v>117</v>
      </c>
      <c r="I352" s="153"/>
      <c r="J352" s="153"/>
      <c r="K352" s="153">
        <v>0.15</v>
      </c>
      <c r="L352" s="153">
        <v>0.1</v>
      </c>
      <c r="M352" s="153">
        <v>0.1</v>
      </c>
      <c r="N352" s="155">
        <v>0.1</v>
      </c>
    </row>
    <row r="353" spans="2:14" s="44" customFormat="1" ht="16" customHeight="1">
      <c r="B353" s="152" t="s">
        <v>118</v>
      </c>
      <c r="I353" s="153"/>
      <c r="J353" s="153"/>
      <c r="K353" s="153">
        <v>0.02</v>
      </c>
      <c r="L353" s="153">
        <v>0.02</v>
      </c>
      <c r="M353" s="153">
        <v>0.02</v>
      </c>
      <c r="N353" s="155">
        <v>0.02</v>
      </c>
    </row>
    <row r="354" spans="2:14" s="44" customFormat="1" ht="16" customHeight="1">
      <c r="B354" s="152" t="s">
        <v>152</v>
      </c>
      <c r="I354" s="153"/>
      <c r="J354" s="153"/>
      <c r="K354" s="153">
        <v>-0.05</v>
      </c>
      <c r="L354" s="153">
        <v>-0.05</v>
      </c>
      <c r="M354" s="153">
        <v>-0.05</v>
      </c>
      <c r="N354" s="153">
        <v>-0.05</v>
      </c>
    </row>
    <row r="355" spans="2:14" s="44" customFormat="1" ht="16" customHeight="1">
      <c r="B355" s="97" t="s">
        <v>153</v>
      </c>
      <c r="I355" s="153"/>
      <c r="J355" s="153"/>
      <c r="K355" s="153"/>
      <c r="L355" s="153"/>
      <c r="M355" s="153"/>
    </row>
    <row r="356" spans="2:14" s="44" customFormat="1" ht="16" customHeight="1">
      <c r="B356" s="152" t="s">
        <v>117</v>
      </c>
      <c r="J356" s="59">
        <v>6</v>
      </c>
      <c r="K356" s="156"/>
      <c r="L356" s="156"/>
      <c r="M356" s="156"/>
      <c r="N356" s="156"/>
    </row>
    <row r="357" spans="2:14" s="44" customFormat="1" ht="16" customHeight="1">
      <c r="B357" s="152" t="s">
        <v>118</v>
      </c>
      <c r="H357" s="152"/>
      <c r="J357" s="59">
        <v>4</v>
      </c>
      <c r="K357" s="156"/>
      <c r="L357" s="156"/>
      <c r="M357" s="157"/>
      <c r="N357" s="157"/>
    </row>
    <row r="358" spans="2:14" s="44" customFormat="1" ht="16" customHeight="1">
      <c r="B358" s="152" t="s">
        <v>152</v>
      </c>
      <c r="J358" s="59">
        <v>1</v>
      </c>
      <c r="K358" s="156"/>
      <c r="L358" s="156"/>
      <c r="M358" s="156"/>
      <c r="N358" s="156"/>
    </row>
    <row r="359" spans="2:14" s="44" customFormat="1" ht="16" customHeight="1">
      <c r="B359" s="97" t="s">
        <v>154</v>
      </c>
      <c r="J359" s="59"/>
    </row>
    <row r="360" spans="2:14" s="44" customFormat="1" ht="16" customHeight="1">
      <c r="B360" s="152" t="s">
        <v>117</v>
      </c>
      <c r="J360" s="59">
        <v>550000</v>
      </c>
      <c r="K360" s="156"/>
      <c r="L360" s="156"/>
      <c r="M360" s="156"/>
      <c r="N360" s="156"/>
    </row>
    <row r="361" spans="2:14" s="44" customFormat="1" ht="16" customHeight="1">
      <c r="B361" s="152" t="s">
        <v>118</v>
      </c>
      <c r="J361" s="59">
        <v>500000</v>
      </c>
      <c r="K361" s="156"/>
      <c r="L361" s="156"/>
      <c r="M361" s="156"/>
      <c r="N361" s="156"/>
    </row>
    <row r="362" spans="2:14" s="44" customFormat="1" ht="16" customHeight="1">
      <c r="B362" s="152" t="s">
        <v>152</v>
      </c>
      <c r="J362" s="59">
        <v>450000</v>
      </c>
      <c r="K362" s="156"/>
      <c r="L362" s="156"/>
      <c r="M362" s="156"/>
      <c r="N362" s="156"/>
    </row>
    <row r="363" spans="2:14" s="44" customFormat="1" ht="16" customHeight="1">
      <c r="J363" s="59"/>
    </row>
    <row r="364" spans="2:14" s="44" customFormat="1" ht="16" customHeight="1"/>
    <row r="365" spans="2:14" s="44" customFormat="1" ht="16" customHeight="1"/>
    <row r="366" spans="2:14" s="44" customFormat="1" ht="16" customHeight="1"/>
    <row r="367" spans="2:14" s="44" customFormat="1" ht="16" customHeight="1"/>
    <row r="368" spans="2:14" s="44" customFormat="1" ht="16" customHeight="1"/>
    <row r="369" s="44" customFormat="1" ht="16" customHeight="1"/>
  </sheetData>
  <dataValidations count="2">
    <dataValidation type="list" allowBlank="1" showInputMessage="1" showErrorMessage="1" sqref="M5" xr:uid="{9410CD02-F9A0-DA49-A4D9-8DAF5C6599B0}">
      <formula1>$B$316:$B$318</formula1>
    </dataValidation>
    <dataValidation type="list" allowBlank="1" showInputMessage="1" showErrorMessage="1" sqref="C7" xr:uid="{ED6DDC77-C395-BB46-A14E-CA770CC3227B}">
      <formula1>"OFF, ON"</formula1>
    </dataValidation>
  </dataValidations>
  <pageMargins left="0.70000004768371604" right="0.70000004768371604" top="0.75" bottom="0.75" header="0.30000001192092901" footer="0.30000001192092901"/>
  <pageSetup paperSize="9" scale="60" orientation="landscape" useFirstPageNumber="1" horizontalDpi="0" verticalDpi="0"/>
  <headerFooter alignWithMargins="0"/>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86059-A93A-5448-8F06-0CD03D2219D4}">
  <dimension ref="B2:O74"/>
  <sheetViews>
    <sheetView zoomScaleNormal="100" workbookViewId="0">
      <selection activeCell="B27" sqref="B27"/>
    </sheetView>
  </sheetViews>
  <sheetFormatPr baseColWidth="10" defaultRowHeight="19"/>
  <cols>
    <col min="1" max="1" width="3.1640625" style="95" customWidth="1"/>
    <col min="2" max="2" width="22.5" style="95" customWidth="1"/>
    <col min="3" max="3" width="14.5" style="95" customWidth="1"/>
    <col min="4" max="4" width="14" style="95" customWidth="1"/>
    <col min="5" max="5" width="16.5" style="95" customWidth="1"/>
    <col min="6" max="6" width="14.33203125" style="95" customWidth="1"/>
    <col min="7" max="7" width="14.6640625" style="95" bestFit="1" customWidth="1"/>
    <col min="8" max="8" width="16" style="95" customWidth="1"/>
    <col min="9" max="9" width="14" style="95" bestFit="1" customWidth="1"/>
    <col min="10" max="10" width="17.83203125" style="95" bestFit="1" customWidth="1"/>
    <col min="11" max="11" width="14" style="95" bestFit="1" customWidth="1"/>
    <col min="12" max="12" width="10.5" style="95" bestFit="1" customWidth="1"/>
    <col min="13" max="13" width="17.83203125" style="95" bestFit="1" customWidth="1"/>
    <col min="14" max="16384" width="10.83203125" style="95"/>
  </cols>
  <sheetData>
    <row r="2" spans="2:4">
      <c r="B2" s="158" t="s">
        <v>156</v>
      </c>
    </row>
    <row r="3" spans="2:4">
      <c r="B3" s="159" t="s">
        <v>174</v>
      </c>
    </row>
    <row r="4" spans="2:4">
      <c r="B4" s="95" t="s">
        <v>157</v>
      </c>
      <c r="C4" s="95" t="s">
        <v>158</v>
      </c>
      <c r="D4" s="95" t="s">
        <v>187</v>
      </c>
    </row>
    <row r="5" spans="2:4">
      <c r="B5" s="95" t="s">
        <v>162</v>
      </c>
      <c r="C5" s="160">
        <v>2.5</v>
      </c>
      <c r="D5" s="161">
        <v>0.25</v>
      </c>
    </row>
    <row r="6" spans="2:4">
      <c r="B6" s="95" t="s">
        <v>163</v>
      </c>
      <c r="C6" s="160">
        <v>3.2</v>
      </c>
      <c r="D6" s="161">
        <v>0.28999999999999998</v>
      </c>
    </row>
    <row r="7" spans="2:4">
      <c r="B7" s="95" t="s">
        <v>164</v>
      </c>
      <c r="C7" s="160">
        <v>3.4</v>
      </c>
      <c r="D7" s="161">
        <v>0.3</v>
      </c>
    </row>
    <row r="8" spans="2:4">
      <c r="B8" s="95" t="s">
        <v>165</v>
      </c>
      <c r="C8" s="160">
        <v>3.5</v>
      </c>
      <c r="D8" s="161">
        <v>0.3</v>
      </c>
    </row>
    <row r="9" spans="2:4">
      <c r="B9" s="95" t="s">
        <v>166</v>
      </c>
      <c r="C9" s="160">
        <v>4.2</v>
      </c>
      <c r="D9" s="161">
        <v>0.34</v>
      </c>
    </row>
    <row r="10" spans="2:4">
      <c r="B10" s="95" t="s">
        <v>167</v>
      </c>
      <c r="C10" s="160">
        <v>4.5999999999999996</v>
      </c>
      <c r="D10" s="161">
        <v>0.35</v>
      </c>
    </row>
    <row r="11" spans="2:4">
      <c r="B11" s="95" t="s">
        <v>168</v>
      </c>
      <c r="C11" s="160">
        <v>5.5</v>
      </c>
      <c r="D11" s="161">
        <v>0.4</v>
      </c>
    </row>
    <row r="12" spans="2:4">
      <c r="B12" s="95" t="s">
        <v>169</v>
      </c>
      <c r="C12" s="160">
        <v>6.5</v>
      </c>
      <c r="D12" s="161">
        <v>0.4</v>
      </c>
    </row>
    <row r="13" spans="2:4">
      <c r="B13" s="95" t="s">
        <v>170</v>
      </c>
      <c r="C13" s="160">
        <v>7</v>
      </c>
      <c r="D13" s="161">
        <v>0.5</v>
      </c>
    </row>
    <row r="14" spans="2:4">
      <c r="C14" s="160"/>
      <c r="D14" s="160"/>
    </row>
    <row r="15" spans="2:4">
      <c r="B15" s="159" t="s">
        <v>175</v>
      </c>
      <c r="C15" s="160"/>
      <c r="D15" s="160"/>
    </row>
    <row r="16" spans="2:4">
      <c r="B16" s="95" t="s">
        <v>159</v>
      </c>
      <c r="C16" s="160">
        <f>MIN(C5:C13)</f>
        <v>2.5</v>
      </c>
      <c r="D16" s="161">
        <f>MIN(D5:D13)</f>
        <v>0.25</v>
      </c>
    </row>
    <row r="17" spans="2:7">
      <c r="B17" s="95" t="s">
        <v>189</v>
      </c>
      <c r="C17" s="160">
        <f>AVERAGE(C16,C18)</f>
        <v>3.35</v>
      </c>
      <c r="D17" s="161">
        <f>AVERAGE(D16,D18)</f>
        <v>0.29500000000000004</v>
      </c>
    </row>
    <row r="18" spans="2:7">
      <c r="B18" s="95" t="s">
        <v>160</v>
      </c>
      <c r="C18" s="160">
        <f>MEDIAN(C5:C13)</f>
        <v>4.2</v>
      </c>
      <c r="D18" s="161">
        <f>MEDIAN(D5:D13)</f>
        <v>0.34</v>
      </c>
    </row>
    <row r="19" spans="2:7">
      <c r="B19" s="95" t="s">
        <v>190</v>
      </c>
      <c r="C19" s="160">
        <f>AVERAGE(C18,C20)</f>
        <v>5.6</v>
      </c>
      <c r="D19" s="161">
        <f>AVERAGE(D18,D20)</f>
        <v>0.42000000000000004</v>
      </c>
    </row>
    <row r="20" spans="2:7">
      <c r="B20" s="95" t="s">
        <v>161</v>
      </c>
      <c r="C20" s="160">
        <f>MAX(C5:C13)</f>
        <v>7</v>
      </c>
      <c r="D20" s="161">
        <f>MAX(D5:D13)</f>
        <v>0.5</v>
      </c>
    </row>
    <row r="23" spans="2:7">
      <c r="B23" s="158" t="s">
        <v>171</v>
      </c>
    </row>
    <row r="24" spans="2:7">
      <c r="B24" s="159" t="s">
        <v>176</v>
      </c>
    </row>
    <row r="25" spans="2:7">
      <c r="B25" s="95" t="s">
        <v>177</v>
      </c>
      <c r="C25" s="162">
        <v>9.1999999999999998E-2</v>
      </c>
    </row>
    <row r="26" spans="2:7">
      <c r="B26" s="95" t="s">
        <v>178</v>
      </c>
      <c r="C26" s="162">
        <v>0.10100000000000001</v>
      </c>
    </row>
    <row r="28" spans="2:7">
      <c r="B28" s="159" t="s">
        <v>179</v>
      </c>
    </row>
    <row r="29" spans="2:7">
      <c r="B29" s="95" t="s">
        <v>4</v>
      </c>
      <c r="C29" s="163">
        <f>Model!I13</f>
        <v>57340705</v>
      </c>
      <c r="E29" s="95" t="s">
        <v>181</v>
      </c>
    </row>
    <row r="30" spans="2:7">
      <c r="B30" s="95" t="s">
        <v>22</v>
      </c>
      <c r="C30" s="163">
        <f>Model!I38</f>
        <v>4675475.3788500009</v>
      </c>
      <c r="E30" s="95" t="s">
        <v>182</v>
      </c>
    </row>
    <row r="31" spans="2:7">
      <c r="B31" s="95" t="s">
        <v>180</v>
      </c>
      <c r="C31" s="164">
        <f>Model!I38/Model!I13</f>
        <v>8.153850530526266E-2</v>
      </c>
    </row>
    <row r="32" spans="2:7">
      <c r="C32" s="164"/>
      <c r="G32" s="178"/>
    </row>
    <row r="33" spans="2:15">
      <c r="C33" s="164"/>
    </row>
    <row r="34" spans="2:15">
      <c r="B34" s="158" t="s">
        <v>186</v>
      </c>
    </row>
    <row r="35" spans="2:15" ht="31" customHeight="1">
      <c r="C35" s="165" t="s">
        <v>183</v>
      </c>
      <c r="D35" s="165" t="s">
        <v>184</v>
      </c>
      <c r="E35" s="165" t="s">
        <v>185</v>
      </c>
    </row>
    <row r="36" spans="2:15">
      <c r="B36" s="95" t="s">
        <v>4</v>
      </c>
      <c r="C36" s="163">
        <f>C29</f>
        <v>57340705</v>
      </c>
    </row>
    <row r="37" spans="2:15">
      <c r="B37" s="95" t="str">
        <f>B31</f>
        <v>EBITDA % of Revenue</v>
      </c>
      <c r="C37" s="162">
        <f>C31</f>
        <v>8.153850530526266E-2</v>
      </c>
      <c r="D37" s="162">
        <f>C25</f>
        <v>9.1999999999999998E-2</v>
      </c>
      <c r="E37" s="162">
        <f>C26</f>
        <v>0.10100000000000001</v>
      </c>
    </row>
    <row r="38" spans="2:15">
      <c r="B38" s="95" t="s">
        <v>22</v>
      </c>
      <c r="C38" s="163">
        <f>C30</f>
        <v>4675475.3788500009</v>
      </c>
      <c r="D38" s="163">
        <f>C36*D37</f>
        <v>5275344.8600000003</v>
      </c>
      <c r="E38" s="163">
        <f>C36*E37</f>
        <v>5791411.2050000001</v>
      </c>
    </row>
    <row r="39" spans="2:15">
      <c r="B39" s="158" t="s">
        <v>186</v>
      </c>
      <c r="C39" s="158"/>
      <c r="D39" s="166">
        <f>D38-C38</f>
        <v>599869.48114999942</v>
      </c>
      <c r="E39" s="166">
        <f>E38-C38</f>
        <v>1115935.8261499992</v>
      </c>
    </row>
    <row r="40" spans="2:15">
      <c r="C40" s="167"/>
    </row>
    <row r="42" spans="2:15">
      <c r="B42" s="158" t="s">
        <v>238</v>
      </c>
      <c r="H42" s="158" t="s">
        <v>188</v>
      </c>
    </row>
    <row r="43" spans="2:15" ht="59" customHeight="1">
      <c r="B43" s="182" t="s">
        <v>239</v>
      </c>
      <c r="C43" s="182" t="s">
        <v>241</v>
      </c>
      <c r="D43" s="184" t="s">
        <v>243</v>
      </c>
      <c r="E43" s="184" t="s">
        <v>240</v>
      </c>
      <c r="F43" s="184" t="s">
        <v>244</v>
      </c>
      <c r="G43" s="182" t="s">
        <v>191</v>
      </c>
      <c r="H43" s="182" t="s">
        <v>242</v>
      </c>
      <c r="J43" s="165" t="s">
        <v>221</v>
      </c>
      <c r="K43" s="165" t="s">
        <v>219</v>
      </c>
      <c r="L43" s="165" t="s">
        <v>222</v>
      </c>
      <c r="N43" s="95" t="s">
        <v>221</v>
      </c>
      <c r="O43" s="95" t="s">
        <v>222</v>
      </c>
    </row>
    <row r="44" spans="2:15">
      <c r="B44" s="95" t="s">
        <v>159</v>
      </c>
      <c r="C44" s="160">
        <f>C16</f>
        <v>2.5</v>
      </c>
      <c r="D44" s="186">
        <f>C16*$C$38</f>
        <v>11688688.447125003</v>
      </c>
      <c r="E44" s="161">
        <f>D16</f>
        <v>0.25</v>
      </c>
      <c r="F44" s="186">
        <f>$C$36*D16</f>
        <v>14335176.25</v>
      </c>
      <c r="G44" s="186">
        <f>AVERAGE(D44,F44)</f>
        <v>13011932.348562501</v>
      </c>
      <c r="H44" s="168" t="s">
        <v>210</v>
      </c>
      <c r="J44" s="95" t="s">
        <v>159</v>
      </c>
      <c r="K44" s="167">
        <f>G44</f>
        <v>13011932.348562501</v>
      </c>
      <c r="L44" s="168" t="s">
        <v>210</v>
      </c>
      <c r="N44" s="95" t="str">
        <f>J44</f>
        <v>Low</v>
      </c>
      <c r="O44" s="95" t="str">
        <f>Assessments!C21</f>
        <v>&lt;50%</v>
      </c>
    </row>
    <row r="45" spans="2:15">
      <c r="B45" s="180" t="s">
        <v>172</v>
      </c>
      <c r="C45" s="183">
        <f t="shared" ref="C45:C48" si="0">C17</f>
        <v>3.35</v>
      </c>
      <c r="D45" s="187">
        <f>C17*$C$38</f>
        <v>15662842.519147504</v>
      </c>
      <c r="E45" s="185">
        <f>D17</f>
        <v>0.29500000000000004</v>
      </c>
      <c r="F45" s="187">
        <f>$C$36*D17</f>
        <v>16915507.975000001</v>
      </c>
      <c r="G45" s="187">
        <f t="shared" ref="G45:G48" si="1">AVERAGE(D45,F45)</f>
        <v>16289175.247073753</v>
      </c>
      <c r="H45" s="181" t="s">
        <v>203</v>
      </c>
      <c r="J45" s="95" t="s">
        <v>172</v>
      </c>
      <c r="K45" s="167">
        <f t="shared" ref="K45:K48" si="2">G45</f>
        <v>16289175.247073753</v>
      </c>
      <c r="L45" s="169" t="s">
        <v>203</v>
      </c>
      <c r="N45" s="95" t="str">
        <f t="shared" ref="N45:N48" si="3">J45</f>
        <v>Low-Med</v>
      </c>
      <c r="O45" s="170" t="str">
        <f>Assessments!C20</f>
        <v>51%-57%</v>
      </c>
    </row>
    <row r="46" spans="2:15">
      <c r="B46" s="95" t="s">
        <v>237</v>
      </c>
      <c r="C46" s="160">
        <f t="shared" si="0"/>
        <v>4.2</v>
      </c>
      <c r="D46" s="186">
        <f>C18*$C$38</f>
        <v>19636996.591170006</v>
      </c>
      <c r="E46" s="161">
        <f t="shared" ref="E46:E48" si="4">D18</f>
        <v>0.34</v>
      </c>
      <c r="F46" s="186">
        <f>$C$36*D18</f>
        <v>19495839.700000003</v>
      </c>
      <c r="G46" s="186">
        <f t="shared" si="1"/>
        <v>19566418.145585004</v>
      </c>
      <c r="H46" s="169" t="s">
        <v>204</v>
      </c>
      <c r="J46" s="95" t="s">
        <v>236</v>
      </c>
      <c r="K46" s="167">
        <f t="shared" si="2"/>
        <v>19566418.145585004</v>
      </c>
      <c r="L46" s="169" t="s">
        <v>204</v>
      </c>
      <c r="N46" s="95" t="str">
        <f t="shared" si="3"/>
        <v xml:space="preserve">Medium </v>
      </c>
      <c r="O46" s="170" t="str">
        <f>Assessments!C18</f>
        <v>58%-66%</v>
      </c>
    </row>
    <row r="47" spans="2:15">
      <c r="B47" s="95" t="s">
        <v>173</v>
      </c>
      <c r="C47" s="160">
        <f t="shared" si="0"/>
        <v>5.6</v>
      </c>
      <c r="D47" s="186">
        <f>C19*$C$38</f>
        <v>26182662.121560004</v>
      </c>
      <c r="E47" s="161">
        <f t="shared" si="4"/>
        <v>0.42000000000000004</v>
      </c>
      <c r="F47" s="186">
        <f>$C$36*D19</f>
        <v>24083096.100000001</v>
      </c>
      <c r="G47" s="186">
        <f t="shared" si="1"/>
        <v>25132879.110780001</v>
      </c>
      <c r="H47" s="171" t="s">
        <v>209</v>
      </c>
      <c r="J47" s="95" t="s">
        <v>173</v>
      </c>
      <c r="K47" s="167">
        <f t="shared" si="2"/>
        <v>25132879.110780001</v>
      </c>
      <c r="L47" s="171" t="s">
        <v>209</v>
      </c>
      <c r="N47" s="95" t="str">
        <f t="shared" si="3"/>
        <v>Med-High</v>
      </c>
      <c r="O47" s="170" t="str">
        <f>Assessments!C17</f>
        <v>67%-71%</v>
      </c>
    </row>
    <row r="48" spans="2:15">
      <c r="B48" s="95" t="s">
        <v>161</v>
      </c>
      <c r="C48" s="160">
        <f t="shared" si="0"/>
        <v>7</v>
      </c>
      <c r="D48" s="186">
        <f>C20*$C$38</f>
        <v>32728327.651950005</v>
      </c>
      <c r="E48" s="161">
        <f t="shared" si="4"/>
        <v>0.5</v>
      </c>
      <c r="F48" s="186">
        <f>$C$36*D20</f>
        <v>28670352.5</v>
      </c>
      <c r="G48" s="186">
        <f t="shared" si="1"/>
        <v>30699340.075975001</v>
      </c>
      <c r="H48" s="171" t="s">
        <v>202</v>
      </c>
      <c r="J48" s="95" t="s">
        <v>161</v>
      </c>
      <c r="K48" s="167">
        <f t="shared" si="2"/>
        <v>30699340.075975001</v>
      </c>
      <c r="L48" s="171" t="s">
        <v>202</v>
      </c>
      <c r="N48" s="95" t="str">
        <f t="shared" si="3"/>
        <v>High</v>
      </c>
      <c r="O48" s="170" t="str">
        <f>Assessments!C16</f>
        <v>72%+</v>
      </c>
    </row>
    <row r="50" spans="2:10">
      <c r="B50" s="158" t="s">
        <v>211</v>
      </c>
    </row>
    <row r="51" spans="2:10">
      <c r="B51" s="95" t="str">
        <f>Assessments!B6</f>
        <v>Business Attractiveness</v>
      </c>
      <c r="C51" s="172">
        <f>Assessments!C6</f>
        <v>0.64</v>
      </c>
      <c r="E51" s="170">
        <v>0.67</v>
      </c>
    </row>
    <row r="52" spans="2:10">
      <c r="B52" s="95" t="str">
        <f>Assessments!B7</f>
        <v>Business Readiness</v>
      </c>
      <c r="C52" s="172">
        <f>Assessments!C7</f>
        <v>0.45</v>
      </c>
      <c r="E52" s="170">
        <v>0.51</v>
      </c>
    </row>
    <row r="53" spans="2:10">
      <c r="B53" s="158" t="str">
        <f>Assessments!B8</f>
        <v>Business Average</v>
      </c>
      <c r="C53" s="173">
        <f>Assessments!C8</f>
        <v>0.54500000000000004</v>
      </c>
      <c r="E53" s="170">
        <f>AVERAGE(E51:E52)</f>
        <v>0.59000000000000008</v>
      </c>
    </row>
    <row r="54" spans="2:10">
      <c r="B54" s="95" t="s">
        <v>215</v>
      </c>
    </row>
    <row r="55" spans="2:10">
      <c r="B55" s="169" t="s">
        <v>203</v>
      </c>
      <c r="C55" s="174" t="s">
        <v>208</v>
      </c>
      <c r="D55" s="175" t="s">
        <v>212</v>
      </c>
    </row>
    <row r="56" spans="2:10">
      <c r="B56" s="158" t="s">
        <v>214</v>
      </c>
      <c r="C56" s="166">
        <f>G45</f>
        <v>16289175.247073753</v>
      </c>
    </row>
    <row r="58" spans="2:10">
      <c r="B58" s="158" t="s">
        <v>213</v>
      </c>
    </row>
    <row r="59" spans="2:10">
      <c r="B59" s="158"/>
    </row>
    <row r="60" spans="2:10">
      <c r="B60" s="158" t="s">
        <v>192</v>
      </c>
    </row>
    <row r="61" spans="2:10" ht="40">
      <c r="B61" s="176"/>
      <c r="C61" s="182" t="s">
        <v>183</v>
      </c>
      <c r="D61" s="184" t="s">
        <v>216</v>
      </c>
      <c r="E61" s="184" t="s">
        <v>217</v>
      </c>
      <c r="J61" s="167"/>
    </row>
    <row r="62" spans="2:10">
      <c r="B62" s="176" t="str">
        <f>B36</f>
        <v>Revenue</v>
      </c>
      <c r="C62" s="188">
        <f>C36</f>
        <v>57340705</v>
      </c>
      <c r="D62" s="177"/>
      <c r="E62" s="177"/>
      <c r="J62" s="167"/>
    </row>
    <row r="63" spans="2:10">
      <c r="B63" s="95" t="s">
        <v>180</v>
      </c>
      <c r="C63" s="164">
        <f>C31</f>
        <v>8.153850530526266E-2</v>
      </c>
      <c r="D63" s="164">
        <f>C25</f>
        <v>9.1999999999999998E-2</v>
      </c>
      <c r="E63" s="164">
        <f>C26</f>
        <v>0.10100000000000001</v>
      </c>
      <c r="J63" s="167"/>
    </row>
    <row r="64" spans="2:10">
      <c r="B64" s="191" t="s">
        <v>22</v>
      </c>
      <c r="C64" s="192">
        <f>C38</f>
        <v>4675475.3788500009</v>
      </c>
      <c r="D64" s="192">
        <f>C62*D63</f>
        <v>5275344.8600000003</v>
      </c>
      <c r="E64" s="192">
        <f>C62*E63</f>
        <v>5791411.2050000001</v>
      </c>
      <c r="J64" s="167"/>
    </row>
    <row r="65" spans="2:10">
      <c r="B65" s="95" t="s">
        <v>159</v>
      </c>
      <c r="C65" s="188">
        <f>G44</f>
        <v>13011932.348562501</v>
      </c>
      <c r="D65" s="189">
        <f>$D$38*C16</f>
        <v>13188362.15</v>
      </c>
      <c r="E65" s="188">
        <f>$E$38*C16</f>
        <v>14478528.012499999</v>
      </c>
      <c r="J65" s="162"/>
    </row>
    <row r="66" spans="2:10">
      <c r="B66" s="95" t="s">
        <v>172</v>
      </c>
      <c r="C66" s="190">
        <f>G45</f>
        <v>16289175.247073753</v>
      </c>
      <c r="D66" s="189">
        <f t="shared" ref="D66:D69" si="5">$D$38*C17</f>
        <v>17672405.281000003</v>
      </c>
      <c r="E66" s="188">
        <f>$E$38*C17</f>
        <v>19401227.53675</v>
      </c>
      <c r="G66" s="167"/>
      <c r="J66" s="162"/>
    </row>
    <row r="67" spans="2:10">
      <c r="B67" s="95" t="s">
        <v>160</v>
      </c>
      <c r="C67" s="188">
        <f>G46</f>
        <v>19566418.145585004</v>
      </c>
      <c r="D67" s="190">
        <f t="shared" si="5"/>
        <v>22156448.412000004</v>
      </c>
      <c r="E67" s="188">
        <f>$E$38*C18</f>
        <v>24323927.061000001</v>
      </c>
      <c r="J67" s="162"/>
    </row>
    <row r="68" spans="2:10">
      <c r="B68" s="95" t="s">
        <v>173</v>
      </c>
      <c r="C68" s="188">
        <f>G47</f>
        <v>25132879.110780001</v>
      </c>
      <c r="D68" s="189">
        <f t="shared" si="5"/>
        <v>29541931.215999998</v>
      </c>
      <c r="E68" s="188">
        <f>$E$38*C19</f>
        <v>32431902.748</v>
      </c>
    </row>
    <row r="69" spans="2:10">
      <c r="B69" s="95" t="s">
        <v>161</v>
      </c>
      <c r="C69" s="188">
        <f>G48</f>
        <v>30699340.075975001</v>
      </c>
      <c r="D69" s="189">
        <f t="shared" si="5"/>
        <v>36927414.020000003</v>
      </c>
      <c r="E69" s="190">
        <f>$E$38*C20</f>
        <v>40539878.435000002</v>
      </c>
    </row>
    <row r="71" spans="2:10">
      <c r="B71" s="158" t="s">
        <v>213</v>
      </c>
      <c r="C71" s="193" t="s">
        <v>219</v>
      </c>
      <c r="D71" s="193" t="s">
        <v>220</v>
      </c>
    </row>
    <row r="72" spans="2:10">
      <c r="B72" s="95" t="s">
        <v>183</v>
      </c>
      <c r="C72" s="167">
        <f>C66</f>
        <v>16289175.247073753</v>
      </c>
    </row>
    <row r="73" spans="2:10">
      <c r="B73" s="95" t="s">
        <v>218</v>
      </c>
      <c r="C73" s="167">
        <f>D67</f>
        <v>22156448.412000004</v>
      </c>
      <c r="D73" s="167">
        <f>C73-C72</f>
        <v>5867273.1649262514</v>
      </c>
    </row>
    <row r="74" spans="2:10">
      <c r="B74" s="95" t="s">
        <v>202</v>
      </c>
      <c r="C74" s="167">
        <f>E69</f>
        <v>40539878.435000002</v>
      </c>
      <c r="D74" s="167">
        <f>C74-C72</f>
        <v>24250703.187926248</v>
      </c>
    </row>
  </sheetData>
  <sortState xmlns:xlrd2="http://schemas.microsoft.com/office/spreadsheetml/2017/richdata2" ref="B5:D12">
    <sortCondition ref="C5:C12"/>
  </sortState>
  <phoneticPr fontId="18" type="noConversion"/>
  <pageMargins left="0.7" right="0.7" top="0.75" bottom="0.75" header="0.3" footer="0.3"/>
  <pageSetup paperSize="9"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B8BD1-608A-2940-9DF7-F6991FBCA583}">
  <dimension ref="B2:I40"/>
  <sheetViews>
    <sheetView workbookViewId="0">
      <selection activeCell="C19" sqref="C19"/>
    </sheetView>
  </sheetViews>
  <sheetFormatPr baseColWidth="10" defaultRowHeight="15"/>
  <cols>
    <col min="1" max="1" width="2.5" customWidth="1"/>
    <col min="2" max="2" width="35.5" bestFit="1" customWidth="1"/>
    <col min="4" max="4" width="10.83203125" customWidth="1"/>
  </cols>
  <sheetData>
    <row r="2" spans="2:9">
      <c r="B2" s="28" t="s">
        <v>193</v>
      </c>
    </row>
    <row r="3" spans="2:9" s="27" customFormat="1">
      <c r="B3" s="28"/>
    </row>
    <row r="4" spans="2:9">
      <c r="B4" s="16" t="s">
        <v>196</v>
      </c>
      <c r="C4" s="16" t="s">
        <v>195</v>
      </c>
    </row>
    <row r="5" spans="2:9" s="27" customFormat="1">
      <c r="B5" s="16"/>
      <c r="C5" s="16"/>
    </row>
    <row r="6" spans="2:9">
      <c r="B6" s="16" t="s">
        <v>194</v>
      </c>
      <c r="C6" s="29">
        <v>0.64</v>
      </c>
    </row>
    <row r="7" spans="2:9">
      <c r="B7" s="16" t="s">
        <v>197</v>
      </c>
      <c r="C7" s="29">
        <v>0.45</v>
      </c>
    </row>
    <row r="8" spans="2:9">
      <c r="B8" s="16" t="s">
        <v>205</v>
      </c>
      <c r="C8" s="29">
        <f>AVERAGE(C6:C7)</f>
        <v>0.54500000000000004</v>
      </c>
    </row>
    <row r="10" spans="2:9">
      <c r="B10" s="16" t="s">
        <v>198</v>
      </c>
      <c r="C10" s="29">
        <v>0.42</v>
      </c>
    </row>
    <row r="11" spans="2:9">
      <c r="B11" s="16" t="s">
        <v>199</v>
      </c>
      <c r="C11" s="29">
        <v>0.4</v>
      </c>
    </row>
    <row r="13" spans="2:9">
      <c r="B13" s="16" t="s">
        <v>200</v>
      </c>
      <c r="C13" s="29">
        <f>AVERAGE(C6,C7,C10,C11)</f>
        <v>0.47750000000000004</v>
      </c>
    </row>
    <row r="15" spans="2:9" ht="30" customHeight="1">
      <c r="B15" s="16" t="s">
        <v>175</v>
      </c>
      <c r="C15" s="33" t="s">
        <v>206</v>
      </c>
      <c r="D15" s="33" t="str">
        <f>B6</f>
        <v>Business Attractiveness</v>
      </c>
      <c r="E15" s="33" t="str">
        <f>B7</f>
        <v>Business Readiness</v>
      </c>
      <c r="F15" s="33" t="str">
        <f>B8</f>
        <v>Business Average</v>
      </c>
      <c r="G15" s="33" t="str">
        <f>B10</f>
        <v>Financial (personal)</v>
      </c>
      <c r="H15" s="33" t="str">
        <f>B11</f>
        <v xml:space="preserve">Personal </v>
      </c>
      <c r="I15" s="33" t="str">
        <f>B13</f>
        <v>Average All</v>
      </c>
    </row>
    <row r="16" spans="2:9">
      <c r="B16" s="30" t="s">
        <v>202</v>
      </c>
      <c r="C16" s="36" t="s">
        <v>207</v>
      </c>
    </row>
    <row r="17" spans="2:9" s="27" customFormat="1">
      <c r="B17" s="30" t="s">
        <v>209</v>
      </c>
      <c r="C17" s="36" t="s">
        <v>223</v>
      </c>
    </row>
    <row r="18" spans="2:9">
      <c r="B18" s="31" t="s">
        <v>204</v>
      </c>
      <c r="C18" s="35" t="s">
        <v>235</v>
      </c>
      <c r="D18" s="29">
        <f>C6</f>
        <v>0.64</v>
      </c>
    </row>
    <row r="19" spans="2:9" s="27" customFormat="1">
      <c r="B19" s="31" t="s">
        <v>177</v>
      </c>
      <c r="C19" s="35">
        <v>0.57999999999999996</v>
      </c>
      <c r="D19" s="29"/>
    </row>
    <row r="20" spans="2:9">
      <c r="B20" s="31" t="s">
        <v>203</v>
      </c>
      <c r="C20" s="35" t="s">
        <v>208</v>
      </c>
      <c r="E20" s="29">
        <f>C7</f>
        <v>0.45</v>
      </c>
      <c r="F20" s="29">
        <f>C8</f>
        <v>0.54500000000000004</v>
      </c>
      <c r="G20" s="29"/>
    </row>
    <row r="21" spans="2:9">
      <c r="B21" s="32" t="s">
        <v>210</v>
      </c>
      <c r="C21" s="34" t="s">
        <v>201</v>
      </c>
      <c r="G21" s="29">
        <f>C10</f>
        <v>0.42</v>
      </c>
      <c r="H21" s="29">
        <f>C11</f>
        <v>0.4</v>
      </c>
      <c r="I21" s="29">
        <f>C13</f>
        <v>0.47750000000000004</v>
      </c>
    </row>
    <row r="23" spans="2:9">
      <c r="B23" s="16" t="s">
        <v>161</v>
      </c>
    </row>
    <row r="24" spans="2:9">
      <c r="B24" s="16" t="s">
        <v>190</v>
      </c>
    </row>
    <row r="25" spans="2:9">
      <c r="B25" s="16" t="s">
        <v>160</v>
      </c>
    </row>
    <row r="26" spans="2:9">
      <c r="B26" s="16" t="s">
        <v>189</v>
      </c>
    </row>
    <row r="27" spans="2:9">
      <c r="B27" s="16" t="s">
        <v>159</v>
      </c>
    </row>
    <row r="35" spans="2:3">
      <c r="B35" s="31"/>
    </row>
    <row r="36" spans="2:3">
      <c r="B36" s="32" t="s">
        <v>210</v>
      </c>
      <c r="C36">
        <v>1</v>
      </c>
    </row>
    <row r="37" spans="2:3">
      <c r="B37" s="31" t="s">
        <v>203</v>
      </c>
      <c r="C37">
        <v>2</v>
      </c>
    </row>
    <row r="38" spans="2:3">
      <c r="B38" s="31" t="s">
        <v>204</v>
      </c>
      <c r="C38">
        <v>3</v>
      </c>
    </row>
    <row r="39" spans="2:3">
      <c r="B39" s="30" t="s">
        <v>209</v>
      </c>
      <c r="C39">
        <v>4</v>
      </c>
    </row>
    <row r="40" spans="2:3">
      <c r="B40" s="30" t="s">
        <v>202</v>
      </c>
      <c r="C40">
        <v>5</v>
      </c>
    </row>
  </sheetData>
  <sortState xmlns:xlrd2="http://schemas.microsoft.com/office/spreadsheetml/2017/richdata2" ref="B36:C40">
    <sortCondition ref="C36:C40"/>
  </sortState>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Disclaimer</vt:lpstr>
      <vt:lpstr>Model</vt:lpstr>
      <vt:lpstr>Market</vt:lpstr>
      <vt:lpstr>Assessments</vt:lpstr>
      <vt:lpstr>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 Street Prep</dc:creator>
  <cp:lastModifiedBy>Bruce McGechan</cp:lastModifiedBy>
  <dcterms:created xsi:type="dcterms:W3CDTF">2018-11-08T21:02:27Z</dcterms:created>
  <dcterms:modified xsi:type="dcterms:W3CDTF">2021-08-06T02:50:08Z</dcterms:modified>
</cp:coreProperties>
</file>